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omments10.xml" ContentType="application/vnd.openxmlformats-officedocument.spreadsheetml.comment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omments11.xml" ContentType="application/vnd.openxmlformats-officedocument.spreadsheetml.comment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omments12.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omments13.xml" ContentType="application/vnd.openxmlformats-officedocument.spreadsheetml.comment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omments14.xml" ContentType="application/vnd.openxmlformats-officedocument.spreadsheetml.comment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omments15.xml" ContentType="application/vnd.openxmlformats-officedocument.spreadsheetml.comment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omments16.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omments17.xml" ContentType="application/vnd.openxmlformats-officedocument.spreadsheetml.comment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omments18.xml" ContentType="application/vnd.openxmlformats-officedocument.spreadsheetml.comment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omments19.xml" ContentType="application/vnd.openxmlformats-officedocument.spreadsheetml.comment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omments20.xml" ContentType="application/vnd.openxmlformats-officedocument.spreadsheetml.comment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omments21.xml" ContentType="application/vnd.openxmlformats-officedocument.spreadsheetml.comment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omments22.xml" ContentType="application/vnd.openxmlformats-officedocument.spreadsheetml.comment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omments23.xml" ContentType="application/vnd.openxmlformats-officedocument.spreadsheetml.comment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omments24.xml" ContentType="application/vnd.openxmlformats-officedocument.spreadsheetml.comment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omments25.xml" ContentType="application/vnd.openxmlformats-officedocument.spreadsheetml.comment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omments26.xml" ContentType="application/vnd.openxmlformats-officedocument.spreadsheetml.comment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4.xml" ContentType="application/vnd.openxmlformats-officedocument.drawingml.chartshapes+xml"/>
  <Override PartName="/xl/comments27.xml" ContentType="application/vnd.openxmlformats-officedocument.spreadsheetml.comments+xml"/>
  <Override PartName="/xl/drawings/drawing35.xml" ContentType="application/vnd.openxmlformats-officedocument.drawing+xml"/>
  <Override PartName="/xl/comments28.xml" ContentType="application/vnd.openxmlformats-officedocument.spreadsheetml.comment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omments29.xml" ContentType="application/vnd.openxmlformats-officedocument.spreadsheetml.comment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omments30.xml" ContentType="application/vnd.openxmlformats-officedocument.spreadsheetml.comment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omments31.xml" ContentType="application/vnd.openxmlformats-officedocument.spreadsheetml.comment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omments32.xml" ContentType="application/vnd.openxmlformats-officedocument.spreadsheetml.comment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omments33.xml" ContentType="application/vnd.openxmlformats-officedocument.spreadsheetml.comment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omments34.xml" ContentType="application/vnd.openxmlformats-officedocument.spreadsheetml.comment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omments35.xml" ContentType="application/vnd.openxmlformats-officedocument.spreadsheetml.comments+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omments36.xml" ContentType="application/vnd.openxmlformats-officedocument.spreadsheetml.comment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omments37.xml" ContentType="application/vnd.openxmlformats-officedocument.spreadsheetml.comments+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omments38.xml" ContentType="application/vnd.openxmlformats-officedocument.spreadsheetml.comments+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omments39.xml" ContentType="application/vnd.openxmlformats-officedocument.spreadsheetml.comments+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omments40.xml" ContentType="application/vnd.openxmlformats-officedocument.spreadsheetml.comments+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omments41.xml" ContentType="application/vnd.openxmlformats-officedocument.spreadsheetml.comments+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omments42.xml" ContentType="application/vnd.openxmlformats-officedocument.spreadsheetml.comments+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omments43.xml" ContentType="application/vnd.openxmlformats-officedocument.spreadsheetml.comments+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omments44.xml" ContentType="application/vnd.openxmlformats-officedocument.spreadsheetml.comments+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omments45.xml" ContentType="application/vnd.openxmlformats-officedocument.spreadsheetml.comments+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70.xml" ContentType="application/vnd.openxmlformats-officedocument.drawing+xml"/>
  <Override PartName="/xl/comments46.xml" ContentType="application/vnd.openxmlformats-officedocument.spreadsheetml.comments+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71.xml" ContentType="application/vnd.openxmlformats-officedocument.drawing+xml"/>
  <Override PartName="/xl/comments47.xml" ContentType="application/vnd.openxmlformats-officedocument.spreadsheetml.comments+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72.xml" ContentType="application/vnd.openxmlformats-officedocument.drawing+xml"/>
  <Override PartName="/xl/comments48.xml" ContentType="application/vnd.openxmlformats-officedocument.spreadsheetml.comments+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73.xml" ContentType="application/vnd.openxmlformats-officedocument.drawing+xml"/>
  <Override PartName="/xl/comments49.xml" ContentType="application/vnd.openxmlformats-officedocument.spreadsheetml.comments+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74.xml" ContentType="application/vnd.openxmlformats-officedocument.drawing+xml"/>
  <Override PartName="/xl/comments50.xml" ContentType="application/vnd.openxmlformats-officedocument.spreadsheetml.comments+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75.xml" ContentType="application/vnd.openxmlformats-officedocument.drawing+xml"/>
  <Override PartName="/xl/comments51.xml" ContentType="application/vnd.openxmlformats-officedocument.spreadsheetml.comments+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76.xml" ContentType="application/vnd.openxmlformats-officedocument.drawing+xml"/>
  <Override PartName="/xl/comments52.xml" ContentType="application/vnd.openxmlformats-officedocument.spreadsheetml.comments+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77.xml" ContentType="application/vnd.openxmlformats-officedocument.drawing+xml"/>
  <Override PartName="/xl/comments53.xml" ContentType="application/vnd.openxmlformats-officedocument.spreadsheetml.comments+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78.xml" ContentType="application/vnd.openxmlformats-officedocument.drawing+xml"/>
  <Override PartName="/xl/comments54.xml" ContentType="application/vnd.openxmlformats-officedocument.spreadsheetml.comments+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79.xml" ContentType="application/vnd.openxmlformats-officedocument.drawing+xml"/>
  <Override PartName="/xl/comments55.xml" ContentType="application/vnd.openxmlformats-officedocument.spreadsheetml.comments+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80.xml" ContentType="application/vnd.openxmlformats-officedocument.drawing+xml"/>
  <Override PartName="/xl/comments56.xml" ContentType="application/vnd.openxmlformats-officedocument.spreadsheetml.comments+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81.xml" ContentType="application/vnd.openxmlformats-officedocument.drawing+xml"/>
  <Override PartName="/xl/comments57.xml" ContentType="application/vnd.openxmlformats-officedocument.spreadsheetml.comments+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82.xml" ContentType="application/vnd.openxmlformats-officedocument.drawing+xml"/>
  <Override PartName="/xl/comments58.xml" ContentType="application/vnd.openxmlformats-officedocument.spreadsheetml.comments+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83.xml" ContentType="application/vnd.openxmlformats-officedocument.drawing+xml"/>
  <Override PartName="/xl/comments59.xml" ContentType="application/vnd.openxmlformats-officedocument.spreadsheetml.comments+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84.xml" ContentType="application/vnd.openxmlformats-officedocument.drawing+xml"/>
  <Override PartName="/xl/comments60.xml" ContentType="application/vnd.openxmlformats-officedocument.spreadsheetml.comments+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85.xml" ContentType="application/vnd.openxmlformats-officedocument.drawing+xml"/>
  <Override PartName="/xl/comments61.xml" ContentType="application/vnd.openxmlformats-officedocument.spreadsheetml.comments+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86.xml" ContentType="application/vnd.openxmlformats-officedocument.drawing+xml"/>
  <Override PartName="/xl/comments62.xml" ContentType="application/vnd.openxmlformats-officedocument.spreadsheetml.comments+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87.xml" ContentType="application/vnd.openxmlformats-officedocument.drawing+xml"/>
  <Override PartName="/xl/comments63.xml" ContentType="application/vnd.openxmlformats-officedocument.spreadsheetml.comments+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88.xml" ContentType="application/vnd.openxmlformats-officedocument.drawing+xml"/>
  <Override PartName="/xl/comments64.xml" ContentType="application/vnd.openxmlformats-officedocument.spreadsheetml.comments+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89.xml" ContentType="application/vnd.openxmlformats-officedocument.drawing+xml"/>
  <Override PartName="/xl/comments65.xml" ContentType="application/vnd.openxmlformats-officedocument.spreadsheetml.comments+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90.xml" ContentType="application/vnd.openxmlformats-officedocument.drawing+xml"/>
  <Override PartName="/xl/comments66.xml" ContentType="application/vnd.openxmlformats-officedocument.spreadsheetml.comments+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91.xml" ContentType="application/vnd.openxmlformats-officedocument.drawing+xml"/>
  <Override PartName="/xl/comments67.xml" ContentType="application/vnd.openxmlformats-officedocument.spreadsheetml.comments+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92.xml" ContentType="application/vnd.openxmlformats-officedocument.drawing+xml"/>
  <Override PartName="/xl/comments68.xml" ContentType="application/vnd.openxmlformats-officedocument.spreadsheetml.comments+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93.xml" ContentType="application/vnd.openxmlformats-officedocument.drawing+xml"/>
  <Override PartName="/xl/comments69.xml" ContentType="application/vnd.openxmlformats-officedocument.spreadsheetml.comments+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94.xml" ContentType="application/vnd.openxmlformats-officedocument.drawing+xml"/>
  <Override PartName="/xl/comments70.xml" ContentType="application/vnd.openxmlformats-officedocument.spreadsheetml.comments+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95.xml" ContentType="application/vnd.openxmlformats-officedocument.drawing+xml"/>
  <Override PartName="/xl/comments71.xml" ContentType="application/vnd.openxmlformats-officedocument.spreadsheetml.comments+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96.xml" ContentType="application/vnd.openxmlformats-officedocument.drawing+xml"/>
  <Override PartName="/xl/comments72.xml" ContentType="application/vnd.openxmlformats-officedocument.spreadsheetml.comments+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97.xml" ContentType="application/vnd.openxmlformats-officedocument.drawing+xml"/>
  <Override PartName="/xl/comments73.xml" ContentType="application/vnd.openxmlformats-officedocument.spreadsheetml.comments+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98.xml" ContentType="application/vnd.openxmlformats-officedocument.drawing+xml"/>
  <Override PartName="/xl/comments74.xml" ContentType="application/vnd.openxmlformats-officedocument.spreadsheetml.comments+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99.xml" ContentType="application/vnd.openxmlformats-officedocument.drawing+xml"/>
  <Override PartName="/xl/comments75.xml" ContentType="application/vnd.openxmlformats-officedocument.spreadsheetml.comments+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M:\Homeland Security\Decon Wastewater project\Shaw Work Assignment\Files for Second Article, Gallardo et al\Science Hub\"/>
    </mc:Choice>
  </mc:AlternateContent>
  <bookViews>
    <workbookView xWindow="0" yWindow="0" windowWidth="19200" windowHeight="11595" tabRatio="738"/>
  </bookViews>
  <sheets>
    <sheet name="Table 1" sheetId="125" r:id="rId1"/>
    <sheet name="Table 2" sheetId="126" r:id="rId2"/>
    <sheet name="Table 3" sheetId="123" r:id="rId3"/>
    <sheet name="Table 4" sheetId="124" r:id="rId4"/>
    <sheet name="Table 5" sheetId="127" r:id="rId5"/>
    <sheet name="Test Conditions" sheetId="24" state="hidden" r:id="rId6"/>
    <sheet name="Initial Char." sheetId="4" r:id="rId7"/>
    <sheet name="3a" sheetId="14" r:id="rId8"/>
    <sheet name="3b" sheetId="19" r:id="rId9"/>
    <sheet name="3c" sheetId="20" r:id="rId10"/>
    <sheet name="7a" sheetId="15" r:id="rId11"/>
    <sheet name="7b" sheetId="21" r:id="rId12"/>
    <sheet name="7c" sheetId="23" r:id="rId13"/>
    <sheet name="14a" sheetId="25" r:id="rId14"/>
    <sheet name="14b" sheetId="26" r:id="rId15"/>
    <sheet name="14c" sheetId="27" r:id="rId16"/>
    <sheet name="18a" sheetId="28" r:id="rId17"/>
    <sheet name="18b" sheetId="29" r:id="rId18"/>
    <sheet name="18c" sheetId="30" r:id="rId19"/>
    <sheet name="22a" sheetId="31" r:id="rId20"/>
    <sheet name="22b" sheetId="32" r:id="rId21"/>
    <sheet name="22c" sheetId="33" r:id="rId22"/>
    <sheet name="11a" sheetId="34" r:id="rId23"/>
    <sheet name="11b" sheetId="35" r:id="rId24"/>
    <sheet name="11c" sheetId="36" r:id="rId25"/>
    <sheet name="21a" sheetId="37" r:id="rId26"/>
    <sheet name="21b" sheetId="38" r:id="rId27"/>
    <sheet name="21c" sheetId="39" r:id="rId28"/>
    <sheet name="21d" sheetId="99" r:id="rId29"/>
    <sheet name="21e" sheetId="100" r:id="rId30"/>
    <sheet name="21f" sheetId="101" r:id="rId31"/>
    <sheet name="21g" sheetId="102" r:id="rId32"/>
    <sheet name="21h" sheetId="110" r:id="rId33"/>
    <sheet name="21i" sheetId="128" r:id="rId34"/>
    <sheet name="21j" sheetId="112" r:id="rId35"/>
    <sheet name="21k" sheetId="113" r:id="rId36"/>
    <sheet name="21l" sheetId="114" r:id="rId37"/>
    <sheet name="21m" sheetId="115" r:id="rId38"/>
    <sheet name="21o" sheetId="117" r:id="rId39"/>
    <sheet name="21p" sheetId="118" r:id="rId40"/>
    <sheet name="21q" sheetId="119" r:id="rId41"/>
    <sheet name="10a" sheetId="40" r:id="rId42"/>
    <sheet name="10b" sheetId="41" r:id="rId43"/>
    <sheet name="10c" sheetId="42" r:id="rId44"/>
    <sheet name="10d" sheetId="103" r:id="rId45"/>
    <sheet name="10e" sheetId="104" r:id="rId46"/>
    <sheet name="10eR" sheetId="105" r:id="rId47"/>
    <sheet name="10f" sheetId="106" r:id="rId48"/>
    <sheet name="10g" sheetId="107" r:id="rId49"/>
    <sheet name="10h" sheetId="108" r:id="rId50"/>
    <sheet name="10i" sheetId="122" r:id="rId51"/>
    <sheet name="1a" sheetId="43" r:id="rId52"/>
    <sheet name="1b" sheetId="44" r:id="rId53"/>
    <sheet name="1c" sheetId="45" r:id="rId54"/>
    <sheet name="12a" sheetId="46" r:id="rId55"/>
    <sheet name="12b" sheetId="47" r:id="rId56"/>
    <sheet name="12c" sheetId="48" r:id="rId57"/>
    <sheet name="16a" sheetId="74" r:id="rId58"/>
    <sheet name="16b" sheetId="75" r:id="rId59"/>
    <sheet name="16cR" sheetId="77" r:id="rId60"/>
    <sheet name="5a" sheetId="78" r:id="rId61"/>
    <sheet name="5b" sheetId="79" r:id="rId62"/>
    <sheet name="5c" sheetId="80" r:id="rId63"/>
    <sheet name="9a" sheetId="84" r:id="rId64"/>
    <sheet name="9aR" sheetId="89" r:id="rId65"/>
    <sheet name="9b" sheetId="82" r:id="rId66"/>
    <sheet name="9c" sheetId="83" r:id="rId67"/>
    <sheet name="20a" sheetId="85" r:id="rId68"/>
    <sheet name="20b" sheetId="86" r:id="rId69"/>
    <sheet name="20c" sheetId="87" r:id="rId70"/>
    <sheet name="27aR" sheetId="93" r:id="rId71"/>
    <sheet name="27bR" sheetId="94" r:id="rId72"/>
    <sheet name="27c" sheetId="95" r:id="rId73"/>
    <sheet name="28a" sheetId="96" r:id="rId74"/>
    <sheet name="28b" sheetId="97" r:id="rId75"/>
    <sheet name="28c" sheetId="98" r:id="rId76"/>
    <sheet name="PM 4C 0hr" sheetId="50" r:id="rId77"/>
    <sheet name="PM 4C 48hr R" sheetId="57" r:id="rId78"/>
    <sheet name="PM 4C 96hr R" sheetId="58" r:id="rId79"/>
    <sheet name="PM 20C 0hr" sheetId="53" r:id="rId80"/>
    <sheet name="PM 20C 48hr R" sheetId="59" r:id="rId81"/>
    <sheet name="PM 20C 96hr R2" sheetId="60" r:id="rId82"/>
  </sheets>
  <calcPr calcId="171027"/>
</workbook>
</file>

<file path=xl/calcChain.xml><?xml version="1.0" encoding="utf-8"?>
<calcChain xmlns="http://schemas.openxmlformats.org/spreadsheetml/2006/main">
  <c r="E30" i="128" l="1"/>
  <c r="E29" i="128"/>
  <c r="F29" i="128" s="1"/>
  <c r="P17" i="128"/>
  <c r="B11" i="128"/>
  <c r="P20" i="128" s="1"/>
  <c r="P15" i="128" l="1"/>
  <c r="P19" i="128"/>
  <c r="P21" i="128"/>
  <c r="P18" i="128"/>
  <c r="P14" i="128"/>
  <c r="Q14" i="128" s="1"/>
  <c r="R14" i="128" s="1"/>
  <c r="P16" i="128"/>
  <c r="Q19" i="26" l="1"/>
  <c r="P19" i="14" l="1"/>
  <c r="C25" i="14"/>
  <c r="Q27" i="83" l="1"/>
  <c r="Q26" i="83" s="1"/>
  <c r="R26" i="83" s="1"/>
  <c r="B17" i="101" l="1"/>
  <c r="I67" i="123" l="1"/>
  <c r="H67" i="123"/>
  <c r="E67" i="123"/>
  <c r="D67" i="123"/>
  <c r="C67" i="123"/>
  <c r="I63" i="123"/>
  <c r="H63" i="123"/>
  <c r="E63" i="123"/>
  <c r="D63" i="123"/>
  <c r="C63" i="123"/>
  <c r="I59" i="123"/>
  <c r="H59" i="123"/>
  <c r="E59" i="123"/>
  <c r="D59" i="123"/>
  <c r="C59" i="123"/>
  <c r="I55" i="123"/>
  <c r="H55" i="123"/>
  <c r="E55" i="123"/>
  <c r="D55" i="123"/>
  <c r="C55" i="123"/>
  <c r="I51" i="123"/>
  <c r="H51" i="123"/>
  <c r="E51" i="123"/>
  <c r="D51" i="123"/>
  <c r="C51" i="123"/>
  <c r="I47" i="123"/>
  <c r="H47" i="123"/>
  <c r="E47" i="123"/>
  <c r="D47" i="123"/>
  <c r="C47" i="123"/>
  <c r="I42" i="123"/>
  <c r="H42" i="123"/>
  <c r="E42" i="123"/>
  <c r="D42" i="123"/>
  <c r="C42" i="123"/>
  <c r="I38" i="123"/>
  <c r="H38" i="123"/>
  <c r="E38" i="123"/>
  <c r="D38" i="123"/>
  <c r="C38" i="123"/>
  <c r="I34" i="123"/>
  <c r="H34" i="123"/>
  <c r="E34" i="123"/>
  <c r="D34" i="123"/>
  <c r="C34" i="123"/>
  <c r="I30" i="123"/>
  <c r="H30" i="123"/>
  <c r="E30" i="123"/>
  <c r="D30" i="123"/>
  <c r="C30" i="123"/>
  <c r="I26" i="123"/>
  <c r="H26" i="123"/>
  <c r="E26" i="123"/>
  <c r="D26" i="123"/>
  <c r="C26" i="123"/>
  <c r="I22" i="123"/>
  <c r="H22" i="123"/>
  <c r="E22" i="123"/>
  <c r="D22" i="123"/>
  <c r="C22" i="123"/>
  <c r="I18" i="123"/>
  <c r="H18" i="123"/>
  <c r="E18" i="123"/>
  <c r="D18" i="123"/>
  <c r="C18" i="123"/>
  <c r="K17" i="123"/>
  <c r="I14" i="123"/>
  <c r="H14" i="123"/>
  <c r="E14" i="123"/>
  <c r="D14" i="123"/>
  <c r="C14" i="123"/>
  <c r="I10" i="123"/>
  <c r="H10" i="123"/>
  <c r="E10" i="123"/>
  <c r="D10" i="123"/>
  <c r="C10" i="123"/>
  <c r="I6" i="123"/>
  <c r="H6" i="123"/>
  <c r="E6" i="123"/>
  <c r="D6" i="123"/>
  <c r="C6" i="123"/>
  <c r="B26" i="107" l="1"/>
  <c r="B26" i="108"/>
  <c r="C26" i="108"/>
  <c r="B25" i="122"/>
  <c r="B26" i="106"/>
  <c r="C26" i="106"/>
  <c r="B26" i="105"/>
  <c r="C26" i="105"/>
  <c r="B28" i="104"/>
  <c r="B28" i="103"/>
  <c r="C28" i="103"/>
  <c r="B29" i="102"/>
  <c r="B30" i="101"/>
  <c r="B29" i="100"/>
  <c r="B29" i="99"/>
  <c r="B28" i="119"/>
  <c r="B28" i="118"/>
  <c r="B28" i="117"/>
  <c r="B28" i="115"/>
  <c r="B28" i="114"/>
  <c r="B28" i="113"/>
  <c r="B27" i="50" l="1"/>
  <c r="B27" i="53"/>
  <c r="J22" i="58" l="1"/>
  <c r="J21" i="58"/>
  <c r="J20" i="58"/>
  <c r="J19" i="58"/>
  <c r="B27" i="58"/>
  <c r="C27" i="58"/>
  <c r="B16" i="58"/>
  <c r="B27" i="57"/>
  <c r="B16" i="57"/>
  <c r="J21" i="57"/>
  <c r="J20" i="57"/>
  <c r="J19" i="57"/>
  <c r="C27" i="57"/>
  <c r="P21" i="50"/>
  <c r="P19" i="50"/>
  <c r="J22" i="50"/>
  <c r="J21" i="50"/>
  <c r="J20" i="50"/>
  <c r="J19" i="50"/>
  <c r="B16" i="50"/>
  <c r="C27" i="50"/>
  <c r="P21" i="57" l="1"/>
  <c r="P22" i="50"/>
  <c r="P22" i="57"/>
  <c r="P21" i="58"/>
  <c r="P22" i="58"/>
  <c r="P19" i="57"/>
  <c r="P20" i="50"/>
  <c r="S19" i="50" s="1"/>
  <c r="P20" i="57"/>
  <c r="S19" i="57" s="1"/>
  <c r="P19" i="58"/>
  <c r="P20" i="58"/>
  <c r="S19" i="58" s="1"/>
  <c r="J20" i="60"/>
  <c r="J19" i="60"/>
  <c r="B16" i="60"/>
  <c r="P22" i="60" s="1"/>
  <c r="J20" i="59"/>
  <c r="J19" i="59"/>
  <c r="L20" i="59"/>
  <c r="L19" i="59"/>
  <c r="P19" i="59"/>
  <c r="B27" i="59"/>
  <c r="C27" i="59"/>
  <c r="B16" i="59"/>
  <c r="C27" i="53"/>
  <c r="J21" i="53"/>
  <c r="J20" i="53"/>
  <c r="J19" i="53"/>
  <c r="B16" i="53"/>
  <c r="P21" i="53" s="1"/>
  <c r="P22" i="53" l="1"/>
  <c r="Q19" i="57"/>
  <c r="R19" i="57" s="1"/>
  <c r="Q19" i="58"/>
  <c r="R19" i="58" s="1"/>
  <c r="Q19" i="50"/>
  <c r="R19" i="50" s="1"/>
  <c r="S19" i="60"/>
  <c r="P20" i="59"/>
  <c r="S19" i="59" s="1"/>
  <c r="P19" i="53"/>
  <c r="P21" i="59"/>
  <c r="P20" i="53"/>
  <c r="Q19" i="53" s="1"/>
  <c r="R19" i="53" s="1"/>
  <c r="P22" i="59"/>
  <c r="P20" i="60"/>
  <c r="P19" i="60"/>
  <c r="P21" i="60"/>
  <c r="B27" i="39"/>
  <c r="B27" i="38"/>
  <c r="B27" i="37"/>
  <c r="B27" i="42"/>
  <c r="C27" i="42"/>
  <c r="B26" i="41"/>
  <c r="B27" i="40"/>
  <c r="B26" i="98"/>
  <c r="B26" i="97"/>
  <c r="C26" i="96"/>
  <c r="B26" i="96"/>
  <c r="B26" i="94"/>
  <c r="B26" i="93"/>
  <c r="B26" i="33"/>
  <c r="B26" i="32"/>
  <c r="B26" i="31"/>
  <c r="B26" i="36"/>
  <c r="B26" i="35"/>
  <c r="B26" i="34"/>
  <c r="Q19" i="60" l="1"/>
  <c r="R19" i="60" s="1"/>
  <c r="Q19" i="59"/>
  <c r="R19" i="59" s="1"/>
  <c r="S19" i="53"/>
  <c r="B28" i="87"/>
  <c r="B28" i="86"/>
  <c r="B29" i="85"/>
  <c r="B25" i="83"/>
  <c r="B27" i="82"/>
  <c r="B27" i="89"/>
  <c r="B27" i="84"/>
  <c r="B26" i="30" l="1"/>
  <c r="C26" i="29"/>
  <c r="B26" i="29"/>
  <c r="C26" i="28"/>
  <c r="B26" i="28"/>
  <c r="C26" i="23"/>
  <c r="B26" i="23"/>
  <c r="B26" i="21"/>
  <c r="C26" i="21"/>
  <c r="B26" i="15"/>
  <c r="C26" i="15"/>
  <c r="B26" i="77"/>
  <c r="B26" i="75"/>
  <c r="B27" i="74"/>
  <c r="C26" i="80"/>
  <c r="B26" i="80"/>
  <c r="B27" i="79"/>
  <c r="C27" i="79"/>
  <c r="B27" i="78"/>
  <c r="C27" i="78"/>
  <c r="C26" i="27"/>
  <c r="B26" i="27"/>
  <c r="C26" i="26"/>
  <c r="B26" i="26"/>
  <c r="C25" i="25"/>
  <c r="B25" i="25"/>
  <c r="B26" i="20"/>
  <c r="C26" i="20"/>
  <c r="C25" i="19"/>
  <c r="B25" i="19"/>
  <c r="B25" i="14"/>
  <c r="B27" i="47" l="1"/>
  <c r="C27" i="47"/>
  <c r="B27" i="46"/>
  <c r="B27" i="44"/>
  <c r="C27" i="44"/>
  <c r="B27" i="43"/>
  <c r="B27" i="48"/>
  <c r="B27" i="45" l="1"/>
  <c r="C26" i="98" l="1"/>
  <c r="C26" i="97"/>
  <c r="C26" i="94"/>
  <c r="C26" i="93"/>
  <c r="C28" i="87"/>
  <c r="C28" i="86"/>
  <c r="C29" i="85"/>
  <c r="C25" i="83"/>
  <c r="C27" i="82"/>
  <c r="C27" i="89"/>
  <c r="C27" i="84"/>
  <c r="C26" i="77"/>
  <c r="C26" i="75"/>
  <c r="C27" i="74"/>
  <c r="C27" i="48"/>
  <c r="C27" i="46"/>
  <c r="C27" i="45"/>
  <c r="C27" i="43"/>
  <c r="C25" i="122"/>
  <c r="D35" i="122"/>
  <c r="D36" i="122"/>
  <c r="B15" i="122"/>
  <c r="J23" i="122"/>
  <c r="J22" i="122"/>
  <c r="J21" i="122"/>
  <c r="J20" i="122"/>
  <c r="J19" i="122"/>
  <c r="J18" i="122"/>
  <c r="D36" i="106"/>
  <c r="D37" i="106"/>
  <c r="D38" i="106"/>
  <c r="C28" i="104"/>
  <c r="C26" i="107"/>
  <c r="C26" i="41"/>
  <c r="C27" i="40"/>
  <c r="C28" i="118"/>
  <c r="C28" i="117"/>
  <c r="C28" i="115"/>
  <c r="C28" i="114"/>
  <c r="C28" i="113"/>
  <c r="C28" i="112"/>
  <c r="C28" i="110"/>
  <c r="C29" i="102"/>
  <c r="C30" i="101"/>
  <c r="C29" i="100"/>
  <c r="C29" i="99"/>
  <c r="C27" i="39"/>
  <c r="C27" i="38"/>
  <c r="C27" i="37"/>
  <c r="C26" i="36"/>
  <c r="C26" i="35"/>
  <c r="C26" i="34"/>
  <c r="C26" i="33"/>
  <c r="C26" i="32"/>
  <c r="C26" i="31"/>
  <c r="C26" i="30"/>
  <c r="B16" i="42"/>
  <c r="P19" i="42"/>
  <c r="P23" i="42"/>
  <c r="B16" i="87"/>
  <c r="P25" i="87" s="1"/>
  <c r="J19" i="87"/>
  <c r="J20" i="87"/>
  <c r="J21" i="87"/>
  <c r="J22" i="87"/>
  <c r="J23" i="87"/>
  <c r="J24" i="87"/>
  <c r="B16" i="47"/>
  <c r="P22" i="47" s="1"/>
  <c r="P19" i="47"/>
  <c r="P21" i="47"/>
  <c r="J19" i="47"/>
  <c r="J20" i="47"/>
  <c r="J21" i="47"/>
  <c r="J22" i="47"/>
  <c r="J23" i="47"/>
  <c r="J24" i="47"/>
  <c r="J25" i="47"/>
  <c r="P24" i="47"/>
  <c r="P25" i="47"/>
  <c r="P21" i="101"/>
  <c r="P20" i="101"/>
  <c r="P22" i="101"/>
  <c r="J20" i="101"/>
  <c r="J21" i="101"/>
  <c r="J22" i="101"/>
  <c r="P19" i="97"/>
  <c r="P19" i="94"/>
  <c r="B16" i="98"/>
  <c r="P21" i="98" s="1"/>
  <c r="B16" i="97"/>
  <c r="P22" i="97" s="1"/>
  <c r="B16" i="96"/>
  <c r="B16" i="94"/>
  <c r="P21" i="94" s="1"/>
  <c r="B16" i="93"/>
  <c r="P20" i="93" s="1"/>
  <c r="B16" i="95"/>
  <c r="P20" i="95" s="1"/>
  <c r="V18" i="86"/>
  <c r="P24" i="86"/>
  <c r="B16" i="86"/>
  <c r="P25" i="86" s="1"/>
  <c r="P25" i="85"/>
  <c r="B16" i="85"/>
  <c r="P19" i="85" s="1"/>
  <c r="B15" i="83"/>
  <c r="P23" i="83" s="1"/>
  <c r="J22" i="98"/>
  <c r="J21" i="98"/>
  <c r="J20" i="98"/>
  <c r="J19" i="98"/>
  <c r="J22" i="97"/>
  <c r="J21" i="97"/>
  <c r="J20" i="97"/>
  <c r="J19" i="97"/>
  <c r="J22" i="96"/>
  <c r="J21" i="96"/>
  <c r="J20" i="96"/>
  <c r="J19" i="96"/>
  <c r="J20" i="95"/>
  <c r="J19" i="95"/>
  <c r="J20" i="94"/>
  <c r="J19" i="94"/>
  <c r="J20" i="93"/>
  <c r="J19" i="93"/>
  <c r="J25" i="86"/>
  <c r="J24" i="86"/>
  <c r="J23" i="86"/>
  <c r="J22" i="86"/>
  <c r="J21" i="86"/>
  <c r="J20" i="86"/>
  <c r="J19" i="86"/>
  <c r="J24" i="85"/>
  <c r="J23" i="85"/>
  <c r="J22" i="85"/>
  <c r="J21" i="85"/>
  <c r="J20" i="85"/>
  <c r="J19" i="85"/>
  <c r="J23" i="83"/>
  <c r="J22" i="83"/>
  <c r="J21" i="83"/>
  <c r="J20" i="83"/>
  <c r="J19" i="83"/>
  <c r="J18" i="83"/>
  <c r="J26" i="82"/>
  <c r="J24" i="82"/>
  <c r="J23" i="82"/>
  <c r="J22" i="82"/>
  <c r="J21" i="82"/>
  <c r="J20" i="82"/>
  <c r="J19" i="82"/>
  <c r="B16" i="82"/>
  <c r="P22" i="82" s="1"/>
  <c r="J26" i="89"/>
  <c r="J25" i="89"/>
  <c r="J24" i="89"/>
  <c r="J23" i="89"/>
  <c r="J22" i="89"/>
  <c r="J21" i="89"/>
  <c r="J20" i="89"/>
  <c r="J19" i="89"/>
  <c r="P22" i="89"/>
  <c r="P20" i="89"/>
  <c r="B16" i="89"/>
  <c r="J25" i="84"/>
  <c r="J24" i="84"/>
  <c r="J23" i="84"/>
  <c r="J22" i="84"/>
  <c r="J21" i="84"/>
  <c r="J20" i="84"/>
  <c r="J19" i="84"/>
  <c r="B16" i="84"/>
  <c r="J21" i="80"/>
  <c r="J20" i="80"/>
  <c r="J19" i="80"/>
  <c r="B16" i="80"/>
  <c r="J21" i="79"/>
  <c r="J20" i="79"/>
  <c r="J19" i="79"/>
  <c r="B16" i="79"/>
  <c r="B16" i="78"/>
  <c r="J21" i="78"/>
  <c r="J20" i="78"/>
  <c r="J19" i="78"/>
  <c r="J19" i="77"/>
  <c r="P20" i="77"/>
  <c r="J21" i="77"/>
  <c r="J20" i="77"/>
  <c r="B16" i="77"/>
  <c r="J22" i="75"/>
  <c r="J21" i="75"/>
  <c r="J20" i="75"/>
  <c r="J19" i="75"/>
  <c r="B16" i="75"/>
  <c r="J21" i="74"/>
  <c r="J20" i="74"/>
  <c r="J19" i="74"/>
  <c r="B16" i="74"/>
  <c r="J21" i="48"/>
  <c r="J20" i="48"/>
  <c r="J19" i="48"/>
  <c r="B16" i="48"/>
  <c r="J21" i="46"/>
  <c r="J20" i="46"/>
  <c r="J19" i="46"/>
  <c r="B16" i="46"/>
  <c r="L9" i="46"/>
  <c r="L9" i="45"/>
  <c r="J21" i="45"/>
  <c r="J20" i="45"/>
  <c r="J19" i="45"/>
  <c r="J19" i="44"/>
  <c r="B16" i="45"/>
  <c r="J23" i="44"/>
  <c r="J22" i="44"/>
  <c r="J21" i="44"/>
  <c r="J20" i="44"/>
  <c r="B16" i="44"/>
  <c r="J20" i="43"/>
  <c r="J19" i="43"/>
  <c r="B16" i="43"/>
  <c r="P22" i="43"/>
  <c r="B16" i="30"/>
  <c r="P20" i="30" s="1"/>
  <c r="P22" i="29"/>
  <c r="B16" i="29"/>
  <c r="P21" i="29" s="1"/>
  <c r="P23" i="28"/>
  <c r="P20" i="28"/>
  <c r="B16" i="28"/>
  <c r="P19" i="28" s="1"/>
  <c r="B16" i="33"/>
  <c r="P22" i="33" s="1"/>
  <c r="B16" i="32"/>
  <c r="P20" i="32" s="1"/>
  <c r="B16" i="31"/>
  <c r="B16" i="36"/>
  <c r="B16" i="35"/>
  <c r="P22" i="35" s="1"/>
  <c r="J25" i="34"/>
  <c r="J24" i="34"/>
  <c r="J23" i="34"/>
  <c r="J22" i="34"/>
  <c r="J21" i="34"/>
  <c r="J20" i="34"/>
  <c r="J19" i="34"/>
  <c r="B16" i="34"/>
  <c r="P23" i="34" s="1"/>
  <c r="J20" i="112"/>
  <c r="J19" i="112"/>
  <c r="J25" i="110"/>
  <c r="J24" i="110"/>
  <c r="J23" i="110"/>
  <c r="J22" i="110"/>
  <c r="J21" i="110"/>
  <c r="J20" i="110"/>
  <c r="J19" i="110"/>
  <c r="J23" i="102"/>
  <c r="J22" i="102"/>
  <c r="J21" i="102"/>
  <c r="J20" i="102"/>
  <c r="J19" i="102"/>
  <c r="J23" i="100"/>
  <c r="J22" i="100"/>
  <c r="J21" i="100"/>
  <c r="J20" i="100"/>
  <c r="J19" i="100"/>
  <c r="J24" i="99"/>
  <c r="J23" i="99"/>
  <c r="J22" i="99"/>
  <c r="J21" i="99"/>
  <c r="J20" i="99"/>
  <c r="J19" i="99"/>
  <c r="J26" i="39"/>
  <c r="J25" i="39"/>
  <c r="J24" i="39"/>
  <c r="J23" i="39"/>
  <c r="J22" i="39"/>
  <c r="J21" i="39"/>
  <c r="J20" i="39"/>
  <c r="J19" i="39"/>
  <c r="J26" i="38"/>
  <c r="J25" i="38"/>
  <c r="J24" i="38"/>
  <c r="J23" i="38"/>
  <c r="J22" i="38"/>
  <c r="J21" i="38"/>
  <c r="J20" i="38"/>
  <c r="J19" i="38"/>
  <c r="J26" i="37"/>
  <c r="J25" i="37"/>
  <c r="J24" i="37"/>
  <c r="J23" i="37"/>
  <c r="J22" i="37"/>
  <c r="J21" i="37"/>
  <c r="J20" i="37"/>
  <c r="J19" i="37"/>
  <c r="J23" i="36"/>
  <c r="J22" i="36"/>
  <c r="J21" i="36"/>
  <c r="J20" i="36"/>
  <c r="J19" i="36"/>
  <c r="J24" i="35"/>
  <c r="J23" i="35"/>
  <c r="J22" i="35"/>
  <c r="J21" i="35"/>
  <c r="J20" i="35"/>
  <c r="J19" i="35"/>
  <c r="J25" i="33"/>
  <c r="J24" i="33"/>
  <c r="J23" i="33"/>
  <c r="J22" i="33"/>
  <c r="J21" i="33"/>
  <c r="J20" i="33"/>
  <c r="J19" i="33"/>
  <c r="J25" i="32"/>
  <c r="J24" i="32"/>
  <c r="J23" i="32"/>
  <c r="J22" i="32"/>
  <c r="J21" i="32"/>
  <c r="J20" i="32"/>
  <c r="J19" i="32"/>
  <c r="J25" i="31"/>
  <c r="J24" i="31"/>
  <c r="J23" i="31"/>
  <c r="J22" i="31"/>
  <c r="J21" i="31"/>
  <c r="J20" i="31"/>
  <c r="J19" i="31"/>
  <c r="J22" i="30"/>
  <c r="J21" i="30"/>
  <c r="J20" i="30"/>
  <c r="J19" i="30"/>
  <c r="J22" i="29"/>
  <c r="J21" i="29"/>
  <c r="J20" i="29"/>
  <c r="J19" i="29"/>
  <c r="J23" i="28"/>
  <c r="J22" i="28"/>
  <c r="J21" i="28"/>
  <c r="J20" i="28"/>
  <c r="J19" i="28"/>
  <c r="J25" i="27"/>
  <c r="J24" i="27"/>
  <c r="J23" i="27"/>
  <c r="J22" i="27"/>
  <c r="J21" i="27"/>
  <c r="J20" i="27"/>
  <c r="J19" i="27"/>
  <c r="B16" i="27"/>
  <c r="P19" i="27"/>
  <c r="B16" i="26"/>
  <c r="J22" i="26"/>
  <c r="J21" i="26"/>
  <c r="J20" i="26"/>
  <c r="J19" i="26"/>
  <c r="J22" i="25"/>
  <c r="J21" i="25"/>
  <c r="J20" i="25"/>
  <c r="J19" i="25"/>
  <c r="B16" i="25"/>
  <c r="B16" i="23"/>
  <c r="P20" i="23" s="1"/>
  <c r="B16" i="21"/>
  <c r="P19" i="21" s="1"/>
  <c r="B16" i="15"/>
  <c r="B16" i="20"/>
  <c r="U13" i="19"/>
  <c r="B15" i="19"/>
  <c r="B15" i="14"/>
  <c r="B16" i="108"/>
  <c r="B16" i="107"/>
  <c r="B16" i="106"/>
  <c r="B16" i="105"/>
  <c r="E42" i="104"/>
  <c r="B16" i="104"/>
  <c r="E39" i="103"/>
  <c r="B16" i="103"/>
  <c r="B16" i="117"/>
  <c r="B16" i="118"/>
  <c r="P20" i="118" s="1"/>
  <c r="B16" i="41"/>
  <c r="B16" i="40"/>
  <c r="Q38" i="42"/>
  <c r="B16" i="37"/>
  <c r="B16" i="38"/>
  <c r="P22" i="38" s="1"/>
  <c r="B16" i="39"/>
  <c r="P20" i="102"/>
  <c r="B16" i="100"/>
  <c r="P19" i="100" s="1"/>
  <c r="B16" i="110"/>
  <c r="B16" i="102"/>
  <c r="E29" i="99"/>
  <c r="L9" i="119"/>
  <c r="F28" i="119"/>
  <c r="E28" i="119"/>
  <c r="F28" i="118"/>
  <c r="E28" i="118"/>
  <c r="F28" i="117"/>
  <c r="E28" i="117"/>
  <c r="F28" i="115"/>
  <c r="E28" i="115"/>
  <c r="F28" i="114"/>
  <c r="E28" i="114"/>
  <c r="F28" i="113"/>
  <c r="E28" i="113"/>
  <c r="F27" i="37"/>
  <c r="E27" i="37"/>
  <c r="F27" i="38"/>
  <c r="E27" i="38"/>
  <c r="F27" i="39"/>
  <c r="E27" i="39"/>
  <c r="F29" i="99"/>
  <c r="E30" i="101"/>
  <c r="F28" i="112"/>
  <c r="E28" i="112"/>
  <c r="F28" i="110"/>
  <c r="E28" i="110"/>
  <c r="F29" i="102"/>
  <c r="E29" i="102"/>
  <c r="F30" i="101"/>
  <c r="F29" i="100"/>
  <c r="E29" i="100"/>
  <c r="B16" i="99"/>
  <c r="J21" i="113"/>
  <c r="J20" i="113"/>
  <c r="J19" i="113"/>
  <c r="J24" i="114"/>
  <c r="J23" i="114"/>
  <c r="J22" i="114"/>
  <c r="J21" i="114"/>
  <c r="J20" i="114"/>
  <c r="J19" i="114"/>
  <c r="B16" i="119"/>
  <c r="P21" i="118"/>
  <c r="P23" i="117"/>
  <c r="P19" i="117"/>
  <c r="P22" i="115"/>
  <c r="B16" i="115"/>
  <c r="B16" i="114"/>
  <c r="P21" i="113"/>
  <c r="B16" i="113"/>
  <c r="B16" i="112"/>
  <c r="P26" i="110"/>
  <c r="J20" i="108"/>
  <c r="J19" i="108"/>
  <c r="D37" i="108"/>
  <c r="D36" i="108"/>
  <c r="D38" i="108" s="1"/>
  <c r="J21" i="107"/>
  <c r="J20" i="107"/>
  <c r="J19" i="107"/>
  <c r="J20" i="106"/>
  <c r="J19" i="106"/>
  <c r="J20" i="103"/>
  <c r="J19" i="103"/>
  <c r="E38" i="103"/>
  <c r="J20" i="105"/>
  <c r="J19" i="105"/>
  <c r="E41" i="105"/>
  <c r="E40" i="105"/>
  <c r="E42" i="105"/>
  <c r="J19" i="104"/>
  <c r="J20" i="104"/>
  <c r="E41" i="104"/>
  <c r="J19" i="119"/>
  <c r="J20" i="119"/>
  <c r="E35" i="119"/>
  <c r="E34" i="119" s="1"/>
  <c r="F34" i="119" s="1"/>
  <c r="J19" i="115"/>
  <c r="J21" i="118"/>
  <c r="J20" i="118"/>
  <c r="J19" i="118"/>
  <c r="J19" i="117"/>
  <c r="E35" i="118"/>
  <c r="E34" i="118" s="1"/>
  <c r="F34" i="118" s="1"/>
  <c r="J24" i="117"/>
  <c r="J23" i="117"/>
  <c r="J22" i="117"/>
  <c r="J21" i="117"/>
  <c r="J20" i="117"/>
  <c r="E35" i="117"/>
  <c r="E34" i="117" s="1"/>
  <c r="F34" i="117" s="1"/>
  <c r="J23" i="115"/>
  <c r="J20" i="115"/>
  <c r="J21" i="115"/>
  <c r="E41" i="115"/>
  <c r="E40" i="115"/>
  <c r="E39" i="115"/>
  <c r="E38" i="115"/>
  <c r="E37" i="115"/>
  <c r="F38" i="115" s="1"/>
  <c r="E35" i="115"/>
  <c r="E34" i="115" s="1"/>
  <c r="F34" i="115" s="1"/>
  <c r="E36" i="114"/>
  <c r="E35" i="114"/>
  <c r="F35" i="114"/>
  <c r="E35" i="112"/>
  <c r="E34" i="112" s="1"/>
  <c r="F34" i="112" s="1"/>
  <c r="N25" i="108"/>
  <c r="M25" i="108"/>
  <c r="N25" i="107"/>
  <c r="M25" i="107"/>
  <c r="J25" i="98"/>
  <c r="L21" i="98"/>
  <c r="L20" i="98"/>
  <c r="L20" i="97"/>
  <c r="L21" i="96"/>
  <c r="L20" i="96"/>
  <c r="L20" i="95"/>
  <c r="L20" i="94"/>
  <c r="L20" i="93"/>
  <c r="L26" i="89"/>
  <c r="L24" i="89"/>
  <c r="L23" i="89"/>
  <c r="L22" i="89"/>
  <c r="L21" i="89"/>
  <c r="L20" i="89"/>
  <c r="L27" i="87"/>
  <c r="J27" i="87"/>
  <c r="J26" i="87"/>
  <c r="L24" i="87"/>
  <c r="L23" i="87"/>
  <c r="L22" i="87"/>
  <c r="L21" i="87"/>
  <c r="L20" i="87"/>
  <c r="L24" i="86"/>
  <c r="L23" i="86"/>
  <c r="L22" i="86"/>
  <c r="L21" i="86"/>
  <c r="L20" i="86"/>
  <c r="L24" i="85"/>
  <c r="L23" i="85"/>
  <c r="L22" i="85"/>
  <c r="L21" i="85"/>
  <c r="L20" i="85"/>
  <c r="L22" i="83"/>
  <c r="L21" i="83"/>
  <c r="L20" i="83"/>
  <c r="L23" i="84"/>
  <c r="L22" i="84"/>
  <c r="L20" i="84"/>
  <c r="L26" i="82"/>
  <c r="L25" i="82"/>
  <c r="L24" i="82"/>
  <c r="L23" i="82"/>
  <c r="L22" i="82"/>
  <c r="L21" i="82"/>
  <c r="L20" i="82"/>
  <c r="L21" i="80"/>
  <c r="L20" i="80"/>
  <c r="L20" i="79"/>
  <c r="J22" i="78"/>
  <c r="L20" i="78"/>
  <c r="L21" i="77"/>
  <c r="L20" i="77"/>
  <c r="L21" i="75"/>
  <c r="L20" i="75"/>
  <c r="L21" i="74"/>
  <c r="L20" i="74"/>
  <c r="L20" i="60"/>
  <c r="L21" i="58"/>
  <c r="L20" i="58"/>
  <c r="P22" i="25" l="1"/>
  <c r="P19" i="25"/>
  <c r="P24" i="110"/>
  <c r="P19" i="110"/>
  <c r="Q19" i="110" s="1"/>
  <c r="P25" i="110"/>
  <c r="P21" i="110"/>
  <c r="P23" i="110"/>
  <c r="P20" i="110"/>
  <c r="P20" i="26"/>
  <c r="P19" i="26"/>
  <c r="P21" i="26"/>
  <c r="P22" i="26"/>
  <c r="P21" i="46"/>
  <c r="E43" i="104"/>
  <c r="P22" i="110"/>
  <c r="P20" i="39"/>
  <c r="P21" i="39"/>
  <c r="P25" i="39"/>
  <c r="P19" i="39"/>
  <c r="P21" i="20"/>
  <c r="P19" i="20"/>
  <c r="P24" i="122"/>
  <c r="P19" i="122"/>
  <c r="P23" i="122"/>
  <c r="P24" i="39"/>
  <c r="P22" i="44"/>
  <c r="P21" i="44"/>
  <c r="P25" i="44"/>
  <c r="P20" i="44"/>
  <c r="P20" i="46"/>
  <c r="P21" i="122"/>
  <c r="P22" i="112"/>
  <c r="P19" i="112"/>
  <c r="P60" i="41"/>
  <c r="P22" i="41"/>
  <c r="P21" i="45"/>
  <c r="S19" i="45" s="1"/>
  <c r="N5" i="123" s="1"/>
  <c r="O5" i="123" s="1"/>
  <c r="E40" i="103"/>
  <c r="S19" i="104"/>
  <c r="P25" i="43"/>
  <c r="P21" i="48"/>
  <c r="P22" i="75"/>
  <c r="P23" i="77"/>
  <c r="P24" i="77"/>
  <c r="P25" i="82"/>
  <c r="P20" i="42"/>
  <c r="Q19" i="104"/>
  <c r="R19" i="104" s="1"/>
  <c r="P23" i="100"/>
  <c r="P19" i="103"/>
  <c r="P20" i="104"/>
  <c r="P23" i="32"/>
  <c r="P21" i="43"/>
  <c r="P21" i="84"/>
  <c r="P22" i="86"/>
  <c r="P23" i="47"/>
  <c r="P21" i="42"/>
  <c r="S19" i="42" s="1"/>
  <c r="N37" i="123" s="1"/>
  <c r="O37" i="123" s="1"/>
  <c r="P19" i="119"/>
  <c r="S19" i="119" s="1"/>
  <c r="P20" i="105"/>
  <c r="P19" i="118"/>
  <c r="S19" i="118" s="1"/>
  <c r="P22" i="117"/>
  <c r="P19" i="104"/>
  <c r="P20" i="106"/>
  <c r="S19" i="106"/>
  <c r="P20" i="86"/>
  <c r="P20" i="96"/>
  <c r="P20" i="47"/>
  <c r="S19" i="47"/>
  <c r="N8" i="123" s="1"/>
  <c r="O8" i="123" s="1"/>
  <c r="P22" i="42"/>
  <c r="P20" i="83"/>
  <c r="R19" i="26"/>
  <c r="P23" i="84"/>
  <c r="F39" i="115"/>
  <c r="P19" i="114"/>
  <c r="S19" i="114" s="1"/>
  <c r="P20" i="117"/>
  <c r="S19" i="117" s="1"/>
  <c r="P24" i="117"/>
  <c r="P23" i="102"/>
  <c r="P21" i="99"/>
  <c r="P25" i="38"/>
  <c r="P21" i="35"/>
  <c r="P22" i="31"/>
  <c r="P24" i="33"/>
  <c r="P23" i="33"/>
  <c r="P19" i="48"/>
  <c r="S19" i="48" s="1"/>
  <c r="N9" i="123" s="1"/>
  <c r="O9" i="123" s="1"/>
  <c r="P20" i="79"/>
  <c r="P19" i="84"/>
  <c r="P24" i="84"/>
  <c r="P19" i="82"/>
  <c r="P21" i="83"/>
  <c r="P21" i="97"/>
  <c r="Q19" i="47"/>
  <c r="R19" i="47" s="1"/>
  <c r="P19" i="113"/>
  <c r="P23" i="114"/>
  <c r="P21" i="117"/>
  <c r="P20" i="119"/>
  <c r="S19" i="110"/>
  <c r="P22" i="39"/>
  <c r="P23" i="39"/>
  <c r="P19" i="38"/>
  <c r="P20" i="20"/>
  <c r="Q19" i="20" s="1"/>
  <c r="R19" i="20" s="1"/>
  <c r="P20" i="21"/>
  <c r="S19" i="21" s="1"/>
  <c r="N28" i="123" s="1"/>
  <c r="O28" i="123" s="1"/>
  <c r="P21" i="25"/>
  <c r="P23" i="27"/>
  <c r="P19" i="33"/>
  <c r="S19" i="33" s="1"/>
  <c r="N58" i="123" s="1"/>
  <c r="O58" i="123" s="1"/>
  <c r="P22" i="28"/>
  <c r="P24" i="28"/>
  <c r="P24" i="43"/>
  <c r="P19" i="46"/>
  <c r="S19" i="46" s="1"/>
  <c r="N7" i="123" s="1"/>
  <c r="O7" i="123" s="1"/>
  <c r="P20" i="48"/>
  <c r="P22" i="48"/>
  <c r="P22" i="77"/>
  <c r="P22" i="79"/>
  <c r="P20" i="84"/>
  <c r="Q19" i="84" s="1"/>
  <c r="R19" i="84" s="1"/>
  <c r="P25" i="84"/>
  <c r="P21" i="82"/>
  <c r="P18" i="83"/>
  <c r="P22" i="83"/>
  <c r="P18" i="122"/>
  <c r="Q18" i="122" s="1"/>
  <c r="R18" i="122" s="1"/>
  <c r="P20" i="122"/>
  <c r="P22" i="122"/>
  <c r="D37" i="122"/>
  <c r="Q19" i="118"/>
  <c r="R19" i="118" s="1"/>
  <c r="P24" i="34"/>
  <c r="P24" i="35"/>
  <c r="P23" i="112"/>
  <c r="P21" i="119"/>
  <c r="P21" i="100"/>
  <c r="P22" i="100"/>
  <c r="P21" i="38"/>
  <c r="S19" i="26"/>
  <c r="N16" i="123" s="1"/>
  <c r="O16" i="123" s="1"/>
  <c r="P19" i="34"/>
  <c r="P21" i="33"/>
  <c r="P23" i="48"/>
  <c r="P24" i="79"/>
  <c r="P22" i="84"/>
  <c r="P23" i="82"/>
  <c r="S20" i="101"/>
  <c r="P18" i="14"/>
  <c r="Q18" i="14" s="1"/>
  <c r="R18" i="14" s="1"/>
  <c r="P25" i="37"/>
  <c r="P21" i="37"/>
  <c r="P19" i="37"/>
  <c r="P24" i="37"/>
  <c r="P23" i="37"/>
  <c r="P20" i="15"/>
  <c r="P19" i="15"/>
  <c r="Q19" i="15" s="1"/>
  <c r="R19" i="15" s="1"/>
  <c r="P21" i="36"/>
  <c r="P24" i="36"/>
  <c r="P20" i="36"/>
  <c r="P22" i="36"/>
  <c r="P19" i="36"/>
  <c r="S19" i="36" s="1"/>
  <c r="N54" i="123" s="1"/>
  <c r="O54" i="123" s="1"/>
  <c r="P24" i="80"/>
  <c r="P20" i="80"/>
  <c r="P22" i="80"/>
  <c r="P21" i="80"/>
  <c r="P19" i="80"/>
  <c r="P24" i="115"/>
  <c r="P20" i="115"/>
  <c r="P23" i="115"/>
  <c r="P19" i="115"/>
  <c r="S19" i="115" s="1"/>
  <c r="P23" i="99"/>
  <c r="P24" i="99"/>
  <c r="P19" i="99"/>
  <c r="P22" i="99"/>
  <c r="P22" i="102"/>
  <c r="P21" i="102"/>
  <c r="P19" i="102"/>
  <c r="P20" i="99"/>
  <c r="P22" i="37"/>
  <c r="Q35" i="104"/>
  <c r="P21" i="107"/>
  <c r="P20" i="107"/>
  <c r="P19" i="107"/>
  <c r="S19" i="107" s="1"/>
  <c r="P21" i="23"/>
  <c r="P19" i="23"/>
  <c r="Q19" i="23" s="1"/>
  <c r="R19" i="23" s="1"/>
  <c r="P24" i="31"/>
  <c r="P20" i="31"/>
  <c r="P23" i="31"/>
  <c r="P19" i="31"/>
  <c r="P21" i="31"/>
  <c r="P23" i="74"/>
  <c r="P19" i="74"/>
  <c r="S19" i="74" s="1"/>
  <c r="N23" i="123" s="1"/>
  <c r="O23" i="123" s="1"/>
  <c r="P22" i="74"/>
  <c r="P21" i="74"/>
  <c r="P20" i="74"/>
  <c r="Q20" i="101"/>
  <c r="R20" i="101" s="1"/>
  <c r="P20" i="40"/>
  <c r="P24" i="40"/>
  <c r="P21" i="40"/>
  <c r="S19" i="40" s="1"/>
  <c r="N35" i="123" s="1"/>
  <c r="O35" i="123" s="1"/>
  <c r="P23" i="40"/>
  <c r="P19" i="40"/>
  <c r="P21" i="41"/>
  <c r="P20" i="41"/>
  <c r="P19" i="41"/>
  <c r="S19" i="41" s="1"/>
  <c r="N36" i="123" s="1"/>
  <c r="O36" i="123" s="1"/>
  <c r="P21" i="114"/>
  <c r="P24" i="114"/>
  <c r="P20" i="114"/>
  <c r="P20" i="37"/>
  <c r="P22" i="40"/>
  <c r="P23" i="41"/>
  <c r="P23" i="36"/>
  <c r="P25" i="112"/>
  <c r="P21" i="112"/>
  <c r="P24" i="112"/>
  <c r="P20" i="112"/>
  <c r="P26" i="112"/>
  <c r="P20" i="113"/>
  <c r="S19" i="113" s="1"/>
  <c r="P22" i="114"/>
  <c r="P21" i="115"/>
  <c r="P21" i="103"/>
  <c r="P20" i="103"/>
  <c r="S19" i="103" s="1"/>
  <c r="P20" i="108"/>
  <c r="P19" i="108"/>
  <c r="Q19" i="108" s="1"/>
  <c r="R19" i="108" s="1"/>
  <c r="P19" i="19"/>
  <c r="P20" i="19"/>
  <c r="P18" i="19"/>
  <c r="P21" i="75"/>
  <c r="P23" i="75"/>
  <c r="P19" i="75"/>
  <c r="S19" i="75" s="1"/>
  <c r="N24" i="123" s="1"/>
  <c r="O24" i="123" s="1"/>
  <c r="P20" i="75"/>
  <c r="P23" i="80"/>
  <c r="P20" i="100"/>
  <c r="P24" i="38"/>
  <c r="P20" i="38"/>
  <c r="P23" i="38"/>
  <c r="P22" i="32"/>
  <c r="P21" i="32"/>
  <c r="P19" i="32"/>
  <c r="P24" i="32"/>
  <c r="P24" i="29"/>
  <c r="P20" i="29"/>
  <c r="P23" i="29"/>
  <c r="P19" i="29"/>
  <c r="S19" i="29" s="1"/>
  <c r="N32" i="123" s="1"/>
  <c r="O32" i="123" s="1"/>
  <c r="P19" i="105"/>
  <c r="S19" i="105" s="1"/>
  <c r="P20" i="45"/>
  <c r="P19" i="45"/>
  <c r="Q19" i="46"/>
  <c r="R19" i="46" s="1"/>
  <c r="Q19" i="48"/>
  <c r="R19" i="48" s="1"/>
  <c r="P21" i="78"/>
  <c r="P19" i="78"/>
  <c r="P24" i="78"/>
  <c r="P20" i="78"/>
  <c r="P22" i="78"/>
  <c r="P23" i="78"/>
  <c r="P24" i="85"/>
  <c r="P20" i="85"/>
  <c r="P22" i="85"/>
  <c r="P23" i="85"/>
  <c r="P21" i="85"/>
  <c r="P21" i="93"/>
  <c r="P19" i="93"/>
  <c r="Q19" i="93" s="1"/>
  <c r="R19" i="93" s="1"/>
  <c r="P20" i="98"/>
  <c r="P22" i="98"/>
  <c r="P19" i="98"/>
  <c r="Q19" i="98" s="1"/>
  <c r="R19" i="98" s="1"/>
  <c r="P21" i="27"/>
  <c r="P20" i="27"/>
  <c r="P24" i="27"/>
  <c r="P22" i="27"/>
  <c r="P22" i="34"/>
  <c r="P20" i="34"/>
  <c r="S19" i="34" s="1"/>
  <c r="N52" i="123" s="1"/>
  <c r="O52" i="123" s="1"/>
  <c r="P21" i="34"/>
  <c r="Q19" i="34" s="1"/>
  <c r="R19" i="34" s="1"/>
  <c r="P22" i="30"/>
  <c r="P21" i="30"/>
  <c r="P19" i="30"/>
  <c r="P19" i="87"/>
  <c r="P21" i="87"/>
  <c r="P23" i="87"/>
  <c r="P20" i="87"/>
  <c r="P24" i="87"/>
  <c r="P22" i="87"/>
  <c r="P19" i="106"/>
  <c r="Q19" i="106" s="1"/>
  <c r="R19" i="106" s="1"/>
  <c r="P20" i="25"/>
  <c r="S19" i="25" s="1"/>
  <c r="N15" i="123" s="1"/>
  <c r="O15" i="123" s="1"/>
  <c r="P19" i="35"/>
  <c r="P23" i="35"/>
  <c r="P20" i="33"/>
  <c r="P21" i="28"/>
  <c r="P20" i="43"/>
  <c r="P23" i="89"/>
  <c r="P19" i="89"/>
  <c r="P25" i="89"/>
  <c r="P21" i="89"/>
  <c r="P24" i="89"/>
  <c r="P19" i="95"/>
  <c r="Q19" i="95" s="1"/>
  <c r="R19" i="95" s="1"/>
  <c r="P21" i="95"/>
  <c r="P22" i="96"/>
  <c r="P19" i="96"/>
  <c r="S19" i="96" s="1"/>
  <c r="N64" i="123" s="1"/>
  <c r="O64" i="123" s="1"/>
  <c r="P21" i="96"/>
  <c r="P20" i="35"/>
  <c r="P23" i="43"/>
  <c r="P19" i="43"/>
  <c r="S19" i="43" s="1"/>
  <c r="N3" i="123" s="1"/>
  <c r="O3" i="123" s="1"/>
  <c r="P23" i="44"/>
  <c r="P19" i="44"/>
  <c r="Q19" i="44" s="1"/>
  <c r="R19" i="44" s="1"/>
  <c r="P24" i="44"/>
  <c r="P21" i="77"/>
  <c r="S19" i="77" s="1"/>
  <c r="N25" i="123" s="1"/>
  <c r="O25" i="123" s="1"/>
  <c r="P21" i="79"/>
  <c r="P20" i="82"/>
  <c r="P24" i="82"/>
  <c r="P19" i="83"/>
  <c r="P19" i="86"/>
  <c r="P23" i="86"/>
  <c r="P20" i="94"/>
  <c r="S19" i="94" s="1"/>
  <c r="N61" i="123" s="1"/>
  <c r="O61" i="123" s="1"/>
  <c r="P20" i="97"/>
  <c r="Q19" i="97" s="1"/>
  <c r="R19" i="97" s="1"/>
  <c r="P19" i="77"/>
  <c r="P19" i="79"/>
  <c r="T19" i="79" s="1"/>
  <c r="P23" i="79"/>
  <c r="P21" i="86"/>
  <c r="P24" i="42"/>
  <c r="Q19" i="42" s="1"/>
  <c r="R19" i="42" s="1"/>
  <c r="R19" i="110" l="1"/>
  <c r="Q19" i="27"/>
  <c r="R19" i="27" s="1"/>
  <c r="S19" i="38"/>
  <c r="N40" i="123" s="1"/>
  <c r="O40" i="123" s="1"/>
  <c r="Q19" i="119"/>
  <c r="R19" i="119" s="1"/>
  <c r="S19" i="84"/>
  <c r="N43" i="123" s="1"/>
  <c r="O43" i="123" s="1"/>
  <c r="S19" i="32"/>
  <c r="N57" i="123" s="1"/>
  <c r="O57" i="123" s="1"/>
  <c r="Q19" i="114"/>
  <c r="R19" i="114" s="1"/>
  <c r="S18" i="19"/>
  <c r="N12" i="123" s="1"/>
  <c r="O12" i="123" s="1"/>
  <c r="S19" i="23"/>
  <c r="N29" i="123" s="1"/>
  <c r="O29" i="123" s="1"/>
  <c r="S19" i="102"/>
  <c r="S19" i="80"/>
  <c r="S19" i="20"/>
  <c r="N13" i="123" s="1"/>
  <c r="O13" i="123" s="1"/>
  <c r="S19" i="39"/>
  <c r="N41" i="123" s="1"/>
  <c r="O41" i="123" s="1"/>
  <c r="S18" i="122"/>
  <c r="S19" i="30"/>
  <c r="N33" i="123" s="1"/>
  <c r="O33" i="123" s="1"/>
  <c r="Q19" i="79"/>
  <c r="R19" i="79" s="1"/>
  <c r="Q19" i="45"/>
  <c r="R19" i="45" s="1"/>
  <c r="R32" i="112"/>
  <c r="S19" i="31"/>
  <c r="N56" i="123" s="1"/>
  <c r="O56" i="123" s="1"/>
  <c r="S19" i="99"/>
  <c r="S19" i="37"/>
  <c r="N39" i="123" s="1"/>
  <c r="O39" i="123" s="1"/>
  <c r="Q19" i="39"/>
  <c r="R19" i="39" s="1"/>
  <c r="S19" i="44"/>
  <c r="N4" i="123" s="1"/>
  <c r="O4" i="123" s="1"/>
  <c r="S19" i="108"/>
  <c r="Q18" i="83"/>
  <c r="R18" i="83" s="1"/>
  <c r="Q19" i="25"/>
  <c r="R19" i="25" s="1"/>
  <c r="S19" i="78"/>
  <c r="N19" i="123" s="1"/>
  <c r="O19" i="123" s="1"/>
  <c r="Q19" i="35"/>
  <c r="R19" i="35" s="1"/>
  <c r="S19" i="27"/>
  <c r="N17" i="123" s="1"/>
  <c r="O17" i="123" s="1"/>
  <c r="Q19" i="77"/>
  <c r="R19" i="77" s="1"/>
  <c r="Q19" i="28"/>
  <c r="R19" i="28" s="1"/>
  <c r="Q19" i="21"/>
  <c r="R19" i="21" s="1"/>
  <c r="S19" i="112"/>
  <c r="Q19" i="43"/>
  <c r="R19" i="43" s="1"/>
  <c r="S18" i="83"/>
  <c r="Q19" i="33"/>
  <c r="R19" i="33" s="1"/>
  <c r="Q19" i="85"/>
  <c r="R19" i="85" s="1"/>
  <c r="Q19" i="100"/>
  <c r="R19" i="100" s="1"/>
  <c r="Q19" i="41"/>
  <c r="R19" i="41" s="1"/>
  <c r="Q19" i="112"/>
  <c r="R19" i="112" s="1"/>
  <c r="S18" i="14"/>
  <c r="N11" i="123" s="1"/>
  <c r="O11" i="123" s="1"/>
  <c r="S19" i="100"/>
  <c r="S19" i="35"/>
  <c r="N53" i="123" s="1"/>
  <c r="O53" i="123" s="1"/>
  <c r="Q19" i="117"/>
  <c r="R19" i="117" s="1"/>
  <c r="S19" i="15"/>
  <c r="N27" i="123" s="1"/>
  <c r="O27" i="123" s="1"/>
  <c r="S19" i="82"/>
  <c r="N45" i="123" s="1"/>
  <c r="O45" i="123" s="1"/>
  <c r="S19" i="79"/>
  <c r="S19" i="97"/>
  <c r="N65" i="123" s="1"/>
  <c r="O65" i="123" s="1"/>
  <c r="S19" i="98"/>
  <c r="Q19" i="29"/>
  <c r="R19" i="29" s="1"/>
  <c r="Q19" i="103"/>
  <c r="R19" i="103" s="1"/>
  <c r="Q19" i="113"/>
  <c r="R19" i="113" s="1"/>
  <c r="Q19" i="102"/>
  <c r="R19" i="102" s="1"/>
  <c r="S19" i="28"/>
  <c r="N31" i="123" s="1"/>
  <c r="O31" i="123" s="1"/>
  <c r="Q19" i="82"/>
  <c r="R19" i="82" s="1"/>
  <c r="Q19" i="87"/>
  <c r="R19" i="87" s="1"/>
  <c r="Q19" i="30"/>
  <c r="R19" i="30" s="1"/>
  <c r="S19" i="93"/>
  <c r="N60" i="123" s="1"/>
  <c r="O60" i="123" s="1"/>
  <c r="Q19" i="78"/>
  <c r="R19" i="78" s="1"/>
  <c r="Q18" i="19"/>
  <c r="R18" i="19" s="1"/>
  <c r="Q19" i="74"/>
  <c r="R19" i="74" s="1"/>
  <c r="Q19" i="80"/>
  <c r="R19" i="80" s="1"/>
  <c r="Q35" i="103"/>
  <c r="Q19" i="37"/>
  <c r="R19" i="37" s="1"/>
  <c r="Q29" i="105"/>
  <c r="Q19" i="105"/>
  <c r="R19" i="105" s="1"/>
  <c r="R33" i="115"/>
  <c r="Q19" i="115"/>
  <c r="R19" i="115" s="1"/>
  <c r="Y19" i="86"/>
  <c r="Q19" i="86"/>
  <c r="R19" i="86" s="1"/>
  <c r="Q19" i="94"/>
  <c r="R19" i="94" s="1"/>
  <c r="Q19" i="96"/>
  <c r="R19" i="96" s="1"/>
  <c r="Q19" i="89"/>
  <c r="R19" i="89" s="1"/>
  <c r="S19" i="89"/>
  <c r="N44" i="123" s="1"/>
  <c r="O44" i="123" s="1"/>
  <c r="S19" i="87"/>
  <c r="N50" i="123" s="1"/>
  <c r="O50" i="123" s="1"/>
  <c r="Q19" i="75"/>
  <c r="R19" i="75" s="1"/>
  <c r="Q19" i="31"/>
  <c r="R19" i="31" s="1"/>
  <c r="Q19" i="99"/>
  <c r="R19" i="99" s="1"/>
  <c r="S19" i="86"/>
  <c r="N49" i="123" s="1"/>
  <c r="O49" i="123" s="1"/>
  <c r="S19" i="95"/>
  <c r="S19" i="85"/>
  <c r="N48" i="123" s="1"/>
  <c r="O48" i="123" s="1"/>
  <c r="Q19" i="32"/>
  <c r="R19" i="32" s="1"/>
  <c r="Q19" i="38"/>
  <c r="R19" i="38" s="1"/>
  <c r="Q19" i="40"/>
  <c r="R19" i="40" s="1"/>
  <c r="Q19" i="107"/>
  <c r="R19" i="107" s="1"/>
  <c r="Q19" i="36"/>
  <c r="R19" i="36" s="1"/>
  <c r="N62" i="123" l="1"/>
  <c r="O62" i="123" s="1"/>
  <c r="N66" i="123"/>
  <c r="O66" i="123" s="1"/>
  <c r="N21" i="123"/>
  <c r="O21" i="123" s="1"/>
  <c r="N46" i="123"/>
  <c r="O46" i="123" s="1"/>
  <c r="N20" i="123"/>
  <c r="O20" i="123" s="1"/>
  <c r="O68" i="123" l="1"/>
</calcChain>
</file>

<file path=xl/comments1.xml><?xml version="1.0" encoding="utf-8"?>
<comments xmlns="http://schemas.openxmlformats.org/spreadsheetml/2006/main">
  <authors>
    <author>Vicente Gallardo</author>
  </authors>
  <commentList>
    <comment ref="B15"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10.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11.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12.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13.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14.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15.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16.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17.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18.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19.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2.xml><?xml version="1.0" encoding="utf-8"?>
<comments xmlns="http://schemas.openxmlformats.org/spreadsheetml/2006/main">
  <authors>
    <author>Vicente Gallardo</author>
  </authors>
  <commentList>
    <comment ref="B15"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20.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21.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22.xml><?xml version="1.0" encoding="utf-8"?>
<comments xmlns="http://schemas.openxmlformats.org/spreadsheetml/2006/main">
  <authors>
    <author>Vicente Gallardo</author>
  </authors>
  <commentList>
    <comment ref="I10"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23.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24.xml><?xml version="1.0" encoding="utf-8"?>
<comments xmlns="http://schemas.openxmlformats.org/spreadsheetml/2006/main">
  <authors>
    <author>Vicente Gallardo</author>
  </authors>
  <commentList>
    <comment ref="B17"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25.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26.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27.xml><?xml version="1.0" encoding="utf-8"?>
<comments xmlns="http://schemas.openxmlformats.org/spreadsheetml/2006/main">
  <authors>
    <author>Vicente Gallardo</author>
  </authors>
  <commentList>
    <comment ref="B11" authorId="0" shapeId="0">
      <text>
        <r>
          <rPr>
            <b/>
            <sz val="9"/>
            <color indexed="81"/>
            <rFont val="Tahoma"/>
            <charset val="1"/>
          </rPr>
          <t>Vicente Gallardo:</t>
        </r>
        <r>
          <rPr>
            <sz val="9"/>
            <color indexed="81"/>
            <rFont val="Tahoma"/>
            <charset val="1"/>
          </rPr>
          <t xml:space="preserve">
{% of NaOCl in bleach x volume of bleach/100gx1000mL/liter}/{net volume in reactor}x1000</t>
        </r>
      </text>
    </comment>
  </commentList>
</comments>
</file>

<file path=xl/comments28.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29.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3.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30.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31.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32.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33.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34.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35.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36.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37.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38.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39.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4.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40.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41.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42.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43.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44.xml><?xml version="1.0" encoding="utf-8"?>
<comments xmlns="http://schemas.openxmlformats.org/spreadsheetml/2006/main">
  <authors>
    <author>Vicente Gallardo</author>
  </authors>
  <commentList>
    <comment ref="B15"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45.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46.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47.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48.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49.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5.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50.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51.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52.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53.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54.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55.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56.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57.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58.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59.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6.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60.xml><?xml version="1.0" encoding="utf-8"?>
<comments xmlns="http://schemas.openxmlformats.org/spreadsheetml/2006/main">
  <authors>
    <author>Vicente Gallardo</author>
  </authors>
  <commentList>
    <comment ref="B15"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61.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62.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63.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64.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65.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66.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67.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68.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69.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7.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70.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71.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72.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73.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74.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75.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8.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comments9.xml><?xml version="1.0" encoding="utf-8"?>
<comments xmlns="http://schemas.openxmlformats.org/spreadsheetml/2006/main">
  <authors>
    <author>Vicente Gallardo</author>
  </authors>
  <commentList>
    <comment ref="B16" authorId="0" shapeId="0">
      <text>
        <r>
          <rPr>
            <b/>
            <sz val="9"/>
            <color indexed="81"/>
            <rFont val="Tahoma"/>
            <family val="2"/>
          </rPr>
          <t>Vicente Gallardo:</t>
        </r>
        <r>
          <rPr>
            <sz val="9"/>
            <color indexed="81"/>
            <rFont val="Tahoma"/>
            <family val="2"/>
          </rPr>
          <t xml:space="preserve">
{% of NaOCl in bleach x volume of bleach/100gx1000mL/liter}/{net volume in reactor}x1000</t>
        </r>
      </text>
    </comment>
  </commentList>
</comments>
</file>

<file path=xl/sharedStrings.xml><?xml version="1.0" encoding="utf-8"?>
<sst xmlns="http://schemas.openxmlformats.org/spreadsheetml/2006/main" count="6970" uniqueCount="926">
  <si>
    <t>Washwater initial characterization</t>
  </si>
  <si>
    <t>Wastewater</t>
  </si>
  <si>
    <t>Date
Collected</t>
  </si>
  <si>
    <t>Surfactant</t>
  </si>
  <si>
    <r>
      <t>Free Cl</t>
    </r>
    <r>
      <rPr>
        <vertAlign val="subscript"/>
        <sz val="10"/>
        <rFont val="Arial"/>
        <family val="2"/>
      </rPr>
      <t>2</t>
    </r>
    <r>
      <rPr>
        <sz val="10"/>
        <rFont val="Arial"/>
        <family val="2"/>
      </rPr>
      <t xml:space="preserve">
(mg/L)</t>
    </r>
  </si>
  <si>
    <t>pH</t>
  </si>
  <si>
    <t>COD
(mg/L)</t>
  </si>
  <si>
    <t>Turbidity 
(NTU)</t>
  </si>
  <si>
    <t>Alkalinity 
(mg CaCO3/L)</t>
  </si>
  <si>
    <t>TSS 
(mg/L)</t>
  </si>
  <si>
    <t>TDS 
(mg/L)</t>
  </si>
  <si>
    <t xml:space="preserve">*There was no color in the ampules - the samples were cloudy and the instrument reported a false positive. </t>
  </si>
  <si>
    <r>
      <t>Chlorine Inactivation of Anthrax Surrogate (</t>
    </r>
    <r>
      <rPr>
        <b/>
        <i/>
        <sz val="10"/>
        <rFont val="Arial"/>
        <family val="2"/>
      </rPr>
      <t>B. globigii</t>
    </r>
    <r>
      <rPr>
        <b/>
        <sz val="10"/>
        <rFont val="Arial"/>
        <family val="2"/>
      </rPr>
      <t>)</t>
    </r>
  </si>
  <si>
    <t>Date:</t>
  </si>
  <si>
    <t>Test:</t>
  </si>
  <si>
    <t>WW:</t>
  </si>
  <si>
    <t>Recipe:</t>
  </si>
  <si>
    <r>
      <t>Temp. (</t>
    </r>
    <r>
      <rPr>
        <b/>
        <vertAlign val="superscript"/>
        <sz val="10"/>
        <rFont val="Arial"/>
        <family val="2"/>
      </rPr>
      <t>0</t>
    </r>
    <r>
      <rPr>
        <b/>
        <sz val="10"/>
        <rFont val="Arial"/>
        <family val="2"/>
      </rPr>
      <t>C)</t>
    </r>
  </si>
  <si>
    <r>
      <t>Turbidity (NTU</t>
    </r>
    <r>
      <rPr>
        <sz val="10"/>
        <rFont val="Arial"/>
        <family val="2"/>
      </rPr>
      <t>)</t>
    </r>
  </si>
  <si>
    <t>COD (mg/L)</t>
  </si>
  <si>
    <r>
      <t>B. globigii</t>
    </r>
    <r>
      <rPr>
        <b/>
        <sz val="10"/>
        <rFont val="Arial"/>
        <family val="2"/>
      </rPr>
      <t xml:space="preserve"> Conc./100 mL</t>
    </r>
  </si>
  <si>
    <r>
      <t>LI</t>
    </r>
    <r>
      <rPr>
        <b/>
        <vertAlign val="superscript"/>
        <sz val="10"/>
        <rFont val="Arial"/>
        <family val="2"/>
      </rPr>
      <t>a</t>
    </r>
  </si>
  <si>
    <t>HPC Conc./ 100 mL</t>
  </si>
  <si>
    <t>TSS (mg/L)</t>
  </si>
  <si>
    <t>TDS (mg/L)</t>
  </si>
  <si>
    <t>Alkalinity (mg/L)</t>
  </si>
  <si>
    <t>-</t>
  </si>
  <si>
    <t>a: Log Inactivation based on the T0 concentration</t>
  </si>
  <si>
    <t>Comments:</t>
  </si>
  <si>
    <t>Time</t>
  </si>
  <si>
    <t>pH (WW)</t>
  </si>
  <si>
    <t>pH
(Sample)</t>
  </si>
  <si>
    <t>Free Cl (mg/L)
(WW)</t>
  </si>
  <si>
    <t>Free Cl (mg/L)
(Sample)</t>
  </si>
  <si>
    <t xml:space="preserve"> </t>
  </si>
  <si>
    <t>N/A</t>
  </si>
  <si>
    <t xml:space="preserve">Although there was no color in the ampules, the free chlorine concentrations of the samples showed false </t>
  </si>
  <si>
    <t>&gt; 7.23</t>
  </si>
  <si>
    <r>
      <t xml:space="preserve">Complete inactivation of </t>
    </r>
    <r>
      <rPr>
        <i/>
        <sz val="10"/>
        <color indexed="8"/>
        <rFont val="Arial"/>
        <family val="2"/>
      </rPr>
      <t>B. globigii</t>
    </r>
    <r>
      <rPr>
        <sz val="10"/>
        <color indexed="8"/>
        <rFont val="Arial"/>
        <family val="2"/>
      </rPr>
      <t xml:space="preserve"> in WW3 using 5% bleach solution was achieved with 10 minutes </t>
    </r>
  </si>
  <si>
    <t>&gt; 7.10</t>
  </si>
  <si>
    <t>30 Dup</t>
  </si>
  <si>
    <t>&gt; 6.10</t>
  </si>
  <si>
    <t>1% Alconox</t>
  </si>
  <si>
    <t>2000 mL Washwater</t>
  </si>
  <si>
    <t>95 mL Bleach (5% after collecting 100 mL T0 sample)</t>
  </si>
  <si>
    <r>
      <t xml:space="preserve">Complete inactivation of </t>
    </r>
    <r>
      <rPr>
        <i/>
        <sz val="10"/>
        <color indexed="8"/>
        <rFont val="Arial"/>
        <family val="2"/>
      </rPr>
      <t>B. globigii</t>
    </r>
    <r>
      <rPr>
        <sz val="10"/>
        <color indexed="8"/>
        <rFont val="Arial"/>
        <family val="2"/>
      </rPr>
      <t xml:space="preserve"> in WW3 using 5% bleach solution was achieved with 5 minutes </t>
    </r>
  </si>
  <si>
    <r>
      <t xml:space="preserve">The rate of inactivation of HPC in WW3 was slightly higher than that observed in </t>
    </r>
    <r>
      <rPr>
        <i/>
        <sz val="10"/>
        <color indexed="8"/>
        <rFont val="Arial"/>
        <family val="2"/>
      </rPr>
      <t>B. globigii</t>
    </r>
    <r>
      <rPr>
        <sz val="10"/>
        <color indexed="8"/>
        <rFont val="Arial"/>
        <family val="2"/>
      </rPr>
      <t xml:space="preserve"> inactivation. </t>
    </r>
  </si>
  <si>
    <t>&gt; 7.12</t>
  </si>
  <si>
    <t>&gt; 6.70</t>
  </si>
  <si>
    <r>
      <t xml:space="preserve">Complete inactivation of </t>
    </r>
    <r>
      <rPr>
        <i/>
        <sz val="10"/>
        <color indexed="8"/>
        <rFont val="Arial"/>
        <family val="2"/>
      </rPr>
      <t>B. globigii</t>
    </r>
    <r>
      <rPr>
        <sz val="10"/>
        <color indexed="8"/>
        <rFont val="Arial"/>
        <family val="2"/>
      </rPr>
      <t xml:space="preserve"> in WW7 using 5% bleach solution was achieved with 5 minutes </t>
    </r>
  </si>
  <si>
    <t>&gt; 7.18</t>
  </si>
  <si>
    <t>&gt; 7.15</t>
  </si>
  <si>
    <t>30  Dup</t>
  </si>
  <si>
    <t xml:space="preserve">a: Log Inactivation based on the T0 concentration; </t>
  </si>
  <si>
    <t>&gt; 7.26</t>
  </si>
  <si>
    <t xml:space="preserve">of contact time. The corresponding CT and LI values were 12917 mg.min/mL and &gt; 7.15, respectively.  </t>
  </si>
  <si>
    <t>&gt; 6.99</t>
  </si>
  <si>
    <t>5.35*</t>
  </si>
  <si>
    <r>
      <t>2.0 × 10</t>
    </r>
    <r>
      <rPr>
        <vertAlign val="superscript"/>
        <sz val="10"/>
        <rFont val="Arial"/>
        <family val="2"/>
      </rPr>
      <t>8</t>
    </r>
    <r>
      <rPr>
        <sz val="10"/>
        <rFont val="Arial"/>
        <family val="2"/>
      </rPr>
      <t xml:space="preserve"> </t>
    </r>
    <r>
      <rPr>
        <i/>
        <sz val="10"/>
        <rFont val="Arial"/>
        <family val="2"/>
      </rPr>
      <t>B. globigii</t>
    </r>
    <r>
      <rPr>
        <sz val="10"/>
        <rFont val="Arial"/>
        <family val="2"/>
      </rPr>
      <t xml:space="preserve"> (~ 10</t>
    </r>
    <r>
      <rPr>
        <vertAlign val="superscript"/>
        <sz val="10"/>
        <rFont val="Arial"/>
        <family val="2"/>
      </rPr>
      <t>7</t>
    </r>
    <r>
      <rPr>
        <sz val="10"/>
        <rFont val="Arial"/>
        <family val="2"/>
      </rPr>
      <t>/100 mL)</t>
    </r>
  </si>
  <si>
    <t>Test Condition (Scale)</t>
  </si>
  <si>
    <r>
      <t>Waste Water</t>
    </r>
    <r>
      <rPr>
        <vertAlign val="superscript"/>
        <sz val="12"/>
        <color theme="1"/>
        <rFont val="Times New Roman"/>
        <family val="1"/>
      </rPr>
      <t>a</t>
    </r>
  </si>
  <si>
    <t>Bleach Type</t>
  </si>
  <si>
    <t>Surrogate</t>
  </si>
  <si>
    <t xml:space="preserve">Temp </t>
  </si>
  <si>
    <t>(°C)</t>
  </si>
  <si>
    <t>Contact Times (min)</t>
  </si>
  <si>
    <t>1 (Bench)</t>
  </si>
  <si>
    <t>WW 1</t>
  </si>
  <si>
    <t>Liquid</t>
  </si>
  <si>
    <t>B. globigii</t>
  </si>
  <si>
    <r>
      <t>0</t>
    </r>
    <r>
      <rPr>
        <vertAlign val="superscript"/>
        <sz val="12"/>
        <color theme="1"/>
        <rFont val="Times New Roman"/>
        <family val="1"/>
      </rPr>
      <t>b</t>
    </r>
    <r>
      <rPr>
        <sz val="12"/>
        <color theme="1"/>
        <rFont val="Times New Roman"/>
        <family val="1"/>
      </rPr>
      <t>, 3, 5, 10, 15, 30</t>
    </r>
  </si>
  <si>
    <t>2 (Bench)</t>
  </si>
  <si>
    <t>WW 2</t>
  </si>
  <si>
    <t>3 (Bench)</t>
  </si>
  <si>
    <t>WW 3</t>
  </si>
  <si>
    <t>4 (Bench)</t>
  </si>
  <si>
    <t>WW 4</t>
  </si>
  <si>
    <t>5 (Bench)</t>
  </si>
  <si>
    <t>WW 5</t>
  </si>
  <si>
    <t>6 (Bench)</t>
  </si>
  <si>
    <t>WW 6</t>
  </si>
  <si>
    <t>7 (Bench)</t>
  </si>
  <si>
    <t>WW 7</t>
  </si>
  <si>
    <t>8 (Bench)</t>
  </si>
  <si>
    <t>WW 8</t>
  </si>
  <si>
    <t>9 (Bench)</t>
  </si>
  <si>
    <t>WW 9</t>
  </si>
  <si>
    <t>10 (Bench)</t>
  </si>
  <si>
    <t>WW 10</t>
  </si>
  <si>
    <t>11 (Bench)</t>
  </si>
  <si>
    <t>WW 11</t>
  </si>
  <si>
    <t>12 (Bench)</t>
  </si>
  <si>
    <t>13 (Bench)</t>
  </si>
  <si>
    <t>14 (Bench)</t>
  </si>
  <si>
    <t>15 (Bench)</t>
  </si>
  <si>
    <t>16 (Bench)</t>
  </si>
  <si>
    <t>17 (Bench)</t>
  </si>
  <si>
    <t>18 (Bench)</t>
  </si>
  <si>
    <t>19 (Bench)</t>
  </si>
  <si>
    <t>20 (Bench)</t>
  </si>
  <si>
    <t>21 (Bench)</t>
  </si>
  <si>
    <t>22 (Bench)</t>
  </si>
  <si>
    <t>23 (Bench)</t>
  </si>
  <si>
    <t>Solid</t>
  </si>
  <si>
    <t>24 (Bench)</t>
  </si>
  <si>
    <t>25 (Bench)</t>
  </si>
  <si>
    <t>26 (Bench)</t>
  </si>
  <si>
    <t>27 (Drum)</t>
  </si>
  <si>
    <t>28 (Drum)</t>
  </si>
  <si>
    <t>29 (Drum)</t>
  </si>
  <si>
    <t>30 (Drum)</t>
  </si>
  <si>
    <t>31 (Drum)</t>
  </si>
  <si>
    <t>32 (Drum)</t>
  </si>
  <si>
    <r>
      <t>a</t>
    </r>
    <r>
      <rPr>
        <sz val="12"/>
        <color theme="1"/>
        <rFont val="Times New Roman"/>
        <family val="1"/>
      </rPr>
      <t xml:space="preserve"> WW 1 (Wastewater No. 1):  Wash water from washing floors with Cincinnati tap water and surfactant</t>
    </r>
    <r>
      <rPr>
        <sz val="12"/>
        <color rgb="FF000000"/>
        <rFont val="Times New Roman"/>
        <family val="1"/>
      </rPr>
      <t xml:space="preserve"> </t>
    </r>
  </si>
  <si>
    <r>
      <t xml:space="preserve">WW 2:  </t>
    </r>
    <r>
      <rPr>
        <sz val="12"/>
        <color theme="1"/>
        <rFont val="Times New Roman"/>
        <family val="1"/>
      </rPr>
      <t>Wash water from washing floors with Cincinnati tap water and no surfactant</t>
    </r>
    <r>
      <rPr>
        <sz val="12"/>
        <color rgb="FF000000"/>
        <rFont val="Times New Roman"/>
        <family val="1"/>
      </rPr>
      <t xml:space="preserve"> </t>
    </r>
  </si>
  <si>
    <r>
      <t xml:space="preserve">WW 3:  </t>
    </r>
    <r>
      <rPr>
        <sz val="12"/>
        <color theme="1"/>
        <rFont val="Times New Roman"/>
        <family val="1"/>
      </rPr>
      <t>Wash water from washing floors with simulated hard water and surfactant</t>
    </r>
  </si>
  <si>
    <r>
      <t xml:space="preserve">WW 4:  </t>
    </r>
    <r>
      <rPr>
        <sz val="12"/>
        <color theme="1"/>
        <rFont val="Times New Roman"/>
        <family val="1"/>
      </rPr>
      <t>Wash water from washing floors with simulated hard water and no surfactant</t>
    </r>
  </si>
  <si>
    <r>
      <t xml:space="preserve">WW 5:  </t>
    </r>
    <r>
      <rPr>
        <sz val="12"/>
        <color theme="1"/>
        <rFont val="Times New Roman"/>
        <family val="1"/>
      </rPr>
      <t>Wash water from washing personnel with Cincinnati tap water and surfactant</t>
    </r>
  </si>
  <si>
    <r>
      <t xml:space="preserve">WW 7:  </t>
    </r>
    <r>
      <rPr>
        <sz val="12"/>
        <color theme="1"/>
        <rFont val="Times New Roman"/>
        <family val="1"/>
      </rPr>
      <t>Wash water from washing personnel with simulated hard water and surfactant</t>
    </r>
  </si>
  <si>
    <r>
      <t xml:space="preserve">WW 8:  </t>
    </r>
    <r>
      <rPr>
        <sz val="12"/>
        <color theme="1"/>
        <rFont val="Times New Roman"/>
        <family val="1"/>
      </rPr>
      <t>Wash water from washing personnel with simulated hard water and no surfactant</t>
    </r>
  </si>
  <si>
    <r>
      <t xml:space="preserve">WW 10:  </t>
    </r>
    <r>
      <rPr>
        <sz val="12"/>
        <color theme="1"/>
        <rFont val="Times New Roman"/>
        <family val="1"/>
      </rPr>
      <t>Car wash/rinse water</t>
    </r>
  </si>
  <si>
    <r>
      <t xml:space="preserve">WW 11:  </t>
    </r>
    <r>
      <rPr>
        <sz val="12"/>
        <color theme="1"/>
        <rFont val="Times New Roman"/>
        <family val="1"/>
      </rPr>
      <t>High chlorine demand wastewater</t>
    </r>
  </si>
  <si>
    <r>
      <t>b</t>
    </r>
    <r>
      <rPr>
        <sz val="12"/>
        <color rgb="FF000000"/>
        <rFont val="Times New Roman"/>
        <family val="1"/>
      </rPr>
      <t xml:space="preserve"> The 0 minute sample will be a control sample collected prior to the addition of bleach.</t>
    </r>
  </si>
  <si>
    <t>WW 9: Storm water in a high dust area (T&amp;E Facility parking lot)</t>
  </si>
  <si>
    <r>
      <t xml:space="preserve">WW 6:  </t>
    </r>
    <r>
      <rPr>
        <sz val="12"/>
        <color theme="1"/>
        <rFont val="Times New Roman"/>
        <family val="1"/>
      </rPr>
      <t>Wash water from washing personnel with Cincinnati tap water and no surfactant</t>
    </r>
  </si>
  <si>
    <t>Washwater from floor using MHRW with 1% Alconox</t>
  </si>
  <si>
    <t xml:space="preserve">Washwater from PPE using MHRW with 1% Alconox </t>
  </si>
  <si>
    <t>N/A: Not available</t>
  </si>
  <si>
    <t>Temperature, pH, and chlorine concentration remained approximately constant throughout the inactivation test.</t>
  </si>
  <si>
    <t>Chlorine concentrations were relatively high (&gt;3300 mg/L compared to ~2500 mg/L).</t>
  </si>
  <si>
    <t>positive values, probably due to soap (turbidity) in the matrix water.</t>
  </si>
  <si>
    <t xml:space="preserve">of contact time.  The corresponding CT and LI values were 18000 mg.min/mL and &gt; 6.10, respectively.  </t>
  </si>
  <si>
    <t xml:space="preserve">of contact time.  The corresponding CT and LI values were 22167 mg.min/mL and &gt; 7.23, respectively.  </t>
  </si>
  <si>
    <t>positive values in some samples, probably due to soap (turbidity) in the matrix water.</t>
  </si>
  <si>
    <t xml:space="preserve">of contact time.  The corresponding CT and LI values were 22667 mg.min/mL and &gt; 7.15, respectively.  </t>
  </si>
  <si>
    <t>The COD concentrations remained approximately constant during the inactivation test.</t>
  </si>
  <si>
    <t xml:space="preserve">of contact time.  The corresponding CT and LI values were 14555 mg.min/mL and &gt; 7.12, respectively.  </t>
  </si>
  <si>
    <r>
      <t xml:space="preserve">The rate of inactivation of HPC in WW7 was slightly higher than that observed in </t>
    </r>
    <r>
      <rPr>
        <i/>
        <sz val="10"/>
        <color indexed="8"/>
        <rFont val="Arial"/>
        <family val="2"/>
      </rPr>
      <t>B. globigii</t>
    </r>
    <r>
      <rPr>
        <sz val="10"/>
        <color indexed="8"/>
        <rFont val="Arial"/>
        <family val="2"/>
      </rPr>
      <t xml:space="preserve"> inactivation. </t>
    </r>
  </si>
  <si>
    <t>#3 - Floor Wash - MHRW</t>
  </si>
  <si>
    <t>#7 - PPE Wash - MHRW</t>
  </si>
  <si>
    <t xml:space="preserve">pH and Free Chlorine were measured on the wastewater sample and after inactivation with sodium thiosulfate </t>
  </si>
  <si>
    <t>(100 mL with 9.70 mL of 11% anhydrous sodium thiosulfate).</t>
  </si>
  <si>
    <t>The COD concentrations varied noticeably among samples during the inactivation test (1730 mg/L - 3620 mg/L).</t>
  </si>
  <si>
    <r>
      <t xml:space="preserve">2000 mL Washwater; Temperature: 4 </t>
    </r>
    <r>
      <rPr>
        <vertAlign val="superscript"/>
        <sz val="10"/>
        <rFont val="Arial"/>
        <family val="2"/>
      </rPr>
      <t>0</t>
    </r>
    <r>
      <rPr>
        <sz val="10"/>
        <rFont val="Arial"/>
        <family val="2"/>
      </rPr>
      <t>C</t>
    </r>
  </si>
  <si>
    <t>&gt; 7.09</t>
  </si>
  <si>
    <t>&gt; 7.87</t>
  </si>
  <si>
    <t>pH and chlorine concentration remained approximately constant throughout the inactivation test.</t>
  </si>
  <si>
    <r>
      <t xml:space="preserve">Complete inactivation of </t>
    </r>
    <r>
      <rPr>
        <i/>
        <sz val="10"/>
        <color indexed="8"/>
        <rFont val="Arial"/>
        <family val="2"/>
      </rPr>
      <t>B. globigii</t>
    </r>
    <r>
      <rPr>
        <sz val="10"/>
        <color indexed="8"/>
        <rFont val="Arial"/>
        <family val="2"/>
      </rPr>
      <t xml:space="preserve"> in WW3 using 5% bleach solution was achieved with 30 minutes </t>
    </r>
  </si>
  <si>
    <t xml:space="preserve">of contact time.  The corresponding CT and LI values were 64000 mg.min/mL and &gt; 7.09, respectively.  </t>
  </si>
  <si>
    <r>
      <t xml:space="preserve">The rate of inactivation of HPC in WW3 was noticeably higher than that observed in </t>
    </r>
    <r>
      <rPr>
        <i/>
        <sz val="10"/>
        <color indexed="8"/>
        <rFont val="Arial"/>
        <family val="2"/>
      </rPr>
      <t>B. globigii</t>
    </r>
    <r>
      <rPr>
        <sz val="10"/>
        <color indexed="8"/>
        <rFont val="Arial"/>
        <family val="2"/>
      </rPr>
      <t xml:space="preserve"> inactivation. </t>
    </r>
  </si>
  <si>
    <t>2.6*</t>
  </si>
  <si>
    <r>
      <t>Note: The T30 Dup value for TSS did not meet the requirement (</t>
    </r>
    <r>
      <rPr>
        <sz val="10"/>
        <rFont val="Calibri"/>
        <family val="2"/>
      </rPr>
      <t>±</t>
    </r>
    <r>
      <rPr>
        <sz val="9"/>
        <rFont val="Arial"/>
        <family val="2"/>
      </rPr>
      <t xml:space="preserve"> 20%)</t>
    </r>
    <r>
      <rPr>
        <sz val="10"/>
        <rFont val="Arial"/>
        <family val="2"/>
      </rPr>
      <t xml:space="preserve"> of duplicate analysis; however, not enough sample remained to repeat the analysis.</t>
    </r>
  </si>
  <si>
    <t>The COD concentrations varied slightly among samples during the inactivation test (8660 mg/L - 10570 mg/L)</t>
  </si>
  <si>
    <t>and were higher than expected (~4000 mg/L).</t>
  </si>
  <si>
    <r>
      <t xml:space="preserve">The </t>
    </r>
    <r>
      <rPr>
        <i/>
        <sz val="10"/>
        <color theme="1"/>
        <rFont val="Arial"/>
        <family val="2"/>
      </rPr>
      <t xml:space="preserve">B. globigii </t>
    </r>
    <r>
      <rPr>
        <sz val="10"/>
        <color theme="1"/>
        <rFont val="Arial"/>
        <family val="2"/>
      </rPr>
      <t xml:space="preserve">colonies were readily identifiable in plates for 0.1 mL and 1 mL filtration volume.  For 10 mL </t>
    </r>
  </si>
  <si>
    <t xml:space="preserve">filtration volume, the colonies were identifiable in diluted samples, but they were not readily identifiable in raw samples </t>
  </si>
  <si>
    <t xml:space="preserve">The COD concentrations remained approximately constant during the inactivation test.  </t>
  </si>
  <si>
    <t>or less-diluted samples because of the background materials and the relatively large number of colonies.</t>
  </si>
  <si>
    <r>
      <t xml:space="preserve">Complete inactivation of </t>
    </r>
    <r>
      <rPr>
        <i/>
        <sz val="10"/>
        <color indexed="8"/>
        <rFont val="Arial"/>
        <family val="2"/>
      </rPr>
      <t>B. globigii</t>
    </r>
    <r>
      <rPr>
        <sz val="10"/>
        <color indexed="8"/>
        <rFont val="Arial"/>
        <family val="2"/>
      </rPr>
      <t xml:space="preserve"> in WW3 using 5% bleach solution was achieved at contact time 10 minutes.  </t>
    </r>
  </si>
  <si>
    <t>Temperature may have varied during the inactivation test.  Future tests will use a new thermometer.</t>
  </si>
  <si>
    <r>
      <t xml:space="preserve">The overall inactivation of B. globigii at 4 </t>
    </r>
    <r>
      <rPr>
        <vertAlign val="superscript"/>
        <sz val="11"/>
        <color theme="1"/>
        <rFont val="Arial"/>
        <family val="2"/>
      </rPr>
      <t>0</t>
    </r>
    <r>
      <rPr>
        <sz val="11"/>
        <color theme="1"/>
        <rFont val="Arial"/>
        <family val="2"/>
      </rPr>
      <t xml:space="preserve">C was slower than that observed at 20 </t>
    </r>
    <r>
      <rPr>
        <vertAlign val="superscript"/>
        <sz val="11"/>
        <color theme="1"/>
        <rFont val="Arial"/>
        <family val="2"/>
      </rPr>
      <t>0</t>
    </r>
    <r>
      <rPr>
        <sz val="11"/>
        <color theme="1"/>
        <rFont val="Arial"/>
        <family val="2"/>
      </rPr>
      <t xml:space="preserve">C for same washwater. </t>
    </r>
  </si>
  <si>
    <r>
      <t xml:space="preserve">Temperature of the water varied between 7.1 and 8.3 </t>
    </r>
    <r>
      <rPr>
        <vertAlign val="superscript"/>
        <sz val="10"/>
        <color theme="1"/>
        <rFont val="Arial"/>
        <family val="2"/>
      </rPr>
      <t>0</t>
    </r>
    <r>
      <rPr>
        <sz val="10"/>
        <color theme="1"/>
        <rFont val="Arial"/>
        <family val="2"/>
      </rPr>
      <t xml:space="preserve">C; however, the refrigerator temperature was between 5.0 - 8.0 </t>
    </r>
    <r>
      <rPr>
        <vertAlign val="superscript"/>
        <sz val="10"/>
        <color theme="1"/>
        <rFont val="Arial"/>
        <family val="2"/>
      </rPr>
      <t>0</t>
    </r>
    <r>
      <rPr>
        <sz val="10"/>
        <color theme="1"/>
        <rFont val="Arial"/>
        <family val="2"/>
      </rPr>
      <t>C.</t>
    </r>
  </si>
  <si>
    <t xml:space="preserve">* T30 Dup sample was contaminated.  Due to limited sample volume remaining for T30 Dup, the sample was not </t>
  </si>
  <si>
    <t xml:space="preserve">collected through the sample port at the bottom of the carboy.  The carboy was tipped upside down to </t>
  </si>
  <si>
    <t>collect the sample.  BG that had may have collected on the side of the carboy was then introduced into the sample, thereby contaminating it.</t>
  </si>
  <si>
    <t xml:space="preserve">For T10 sample, no colonies were detected in any of the plates. For T15 sample, only 1 &amp; 2 colonies were detected </t>
  </si>
  <si>
    <t>&gt; 7.11</t>
  </si>
  <si>
    <r>
      <t xml:space="preserve">Temperature of the water varied between 5.8 and 7.3 </t>
    </r>
    <r>
      <rPr>
        <vertAlign val="superscript"/>
        <sz val="10"/>
        <color theme="1"/>
        <rFont val="Arial"/>
        <family val="2"/>
      </rPr>
      <t>0</t>
    </r>
    <r>
      <rPr>
        <sz val="10"/>
        <color theme="1"/>
        <rFont val="Arial"/>
        <family val="2"/>
      </rPr>
      <t xml:space="preserve">C; however, the refrigerator temperature was between 4.0 - 9.0 </t>
    </r>
    <r>
      <rPr>
        <vertAlign val="superscript"/>
        <sz val="10"/>
        <color theme="1"/>
        <rFont val="Arial"/>
        <family val="2"/>
      </rPr>
      <t>0</t>
    </r>
    <r>
      <rPr>
        <sz val="10"/>
        <color theme="1"/>
        <rFont val="Arial"/>
        <family val="2"/>
      </rPr>
      <t>C.</t>
    </r>
  </si>
  <si>
    <t xml:space="preserve">Temperature may have varied due to opening the refrigerator door during the inactivation test.  </t>
  </si>
  <si>
    <r>
      <t xml:space="preserve">Complete inactivation of </t>
    </r>
    <r>
      <rPr>
        <i/>
        <sz val="10"/>
        <color indexed="8"/>
        <rFont val="Arial"/>
        <family val="2"/>
      </rPr>
      <t>B. globigii</t>
    </r>
    <r>
      <rPr>
        <sz val="10"/>
        <color indexed="8"/>
        <rFont val="Arial"/>
        <family val="2"/>
      </rPr>
      <t xml:space="preserve"> in WW3 using 5% bleach solution was achieved with 15 minutes </t>
    </r>
  </si>
  <si>
    <t xml:space="preserve">of contact time.  The corresponding CT and LI values were 30750 mg.min/mL and &gt; 7.11, respectively.  </t>
  </si>
  <si>
    <r>
      <t xml:space="preserve">Temperature of the water varied between 4.5 and 5.7 </t>
    </r>
    <r>
      <rPr>
        <vertAlign val="superscript"/>
        <sz val="10"/>
        <color theme="1"/>
        <rFont val="Arial"/>
        <family val="2"/>
      </rPr>
      <t>0</t>
    </r>
    <r>
      <rPr>
        <sz val="10"/>
        <color theme="1"/>
        <rFont val="Arial"/>
        <family val="2"/>
      </rPr>
      <t xml:space="preserve">C; however, the refrigerator temperature was between 6.0 - 11.0 </t>
    </r>
    <r>
      <rPr>
        <vertAlign val="superscript"/>
        <sz val="10"/>
        <color theme="1"/>
        <rFont val="Arial"/>
        <family val="2"/>
      </rPr>
      <t>0</t>
    </r>
    <r>
      <rPr>
        <sz val="10"/>
        <color theme="1"/>
        <rFont val="Arial"/>
        <family val="2"/>
      </rPr>
      <t>C.</t>
    </r>
  </si>
  <si>
    <t xml:space="preserve">Temperature in the reactor was consistent as ice packs were attached to the outer surface of the reactor.  </t>
  </si>
  <si>
    <r>
      <t xml:space="preserve">Complete inactivation of </t>
    </r>
    <r>
      <rPr>
        <i/>
        <sz val="10"/>
        <color indexed="8"/>
        <rFont val="Arial"/>
        <family val="2"/>
      </rPr>
      <t>B. globigii</t>
    </r>
    <r>
      <rPr>
        <sz val="10"/>
        <color indexed="8"/>
        <rFont val="Arial"/>
        <family val="2"/>
      </rPr>
      <t xml:space="preserve"> in WW3 using 5% bleach solution was not achieved at 30 minutes </t>
    </r>
  </si>
  <si>
    <t xml:space="preserve">of contact time in this test, probably due lower temperature.  </t>
  </si>
  <si>
    <t>Washwater from PPE with 1% Alconox</t>
  </si>
  <si>
    <r>
      <rPr>
        <sz val="10"/>
        <color indexed="8"/>
        <rFont val="Calibri"/>
        <family val="2"/>
      </rPr>
      <t>&gt;</t>
    </r>
    <r>
      <rPr>
        <sz val="10"/>
        <color indexed="8"/>
        <rFont val="Arial"/>
        <family val="2"/>
      </rPr>
      <t>7.11</t>
    </r>
  </si>
  <si>
    <r>
      <t xml:space="preserve">The rate of inactivation of HPC in WW7 was noticeably higher than that observed in </t>
    </r>
    <r>
      <rPr>
        <i/>
        <sz val="10"/>
        <color indexed="8"/>
        <rFont val="Arial"/>
        <family val="2"/>
      </rPr>
      <t>B. globigii</t>
    </r>
    <r>
      <rPr>
        <sz val="10"/>
        <color indexed="8"/>
        <rFont val="Arial"/>
        <family val="2"/>
      </rPr>
      <t xml:space="preserve"> inactivation. </t>
    </r>
  </si>
  <si>
    <r>
      <t xml:space="preserve">Complete inactivation of </t>
    </r>
    <r>
      <rPr>
        <i/>
        <sz val="10"/>
        <color indexed="8"/>
        <rFont val="Arial"/>
        <family val="2"/>
      </rPr>
      <t>B. globigii</t>
    </r>
    <r>
      <rPr>
        <sz val="10"/>
        <color indexed="8"/>
        <rFont val="Arial"/>
        <family val="2"/>
      </rPr>
      <t xml:space="preserve"> in WW7 using 5% bleach solution was achieved at 30 minutes.  </t>
    </r>
  </si>
  <si>
    <t xml:space="preserve">The corresponding CT and LI values were 76000 mg.min/mL and &gt; 7.11, respectively.  </t>
  </si>
  <si>
    <r>
      <rPr>
        <sz val="10"/>
        <color indexed="8"/>
        <rFont val="Calibri"/>
        <family val="2"/>
      </rPr>
      <t>&gt;</t>
    </r>
    <r>
      <rPr>
        <sz val="10"/>
        <color indexed="8"/>
        <rFont val="Arial"/>
        <family val="2"/>
      </rPr>
      <t>7.04</t>
    </r>
  </si>
  <si>
    <r>
      <t xml:space="preserve">Temperature of the water varied between 4.6 and 5.3 </t>
    </r>
    <r>
      <rPr>
        <vertAlign val="superscript"/>
        <sz val="10"/>
        <color theme="1"/>
        <rFont val="Arial"/>
        <family val="2"/>
      </rPr>
      <t>0</t>
    </r>
    <r>
      <rPr>
        <sz val="10"/>
        <color theme="1"/>
        <rFont val="Arial"/>
        <family val="2"/>
      </rPr>
      <t xml:space="preserve">C; however, the refrigerator temperature was between 4.0 - 7.0 </t>
    </r>
    <r>
      <rPr>
        <vertAlign val="superscript"/>
        <sz val="10"/>
        <color theme="1"/>
        <rFont val="Arial"/>
        <family val="2"/>
      </rPr>
      <t>0</t>
    </r>
    <r>
      <rPr>
        <sz val="10"/>
        <color theme="1"/>
        <rFont val="Arial"/>
        <family val="2"/>
      </rPr>
      <t>C.</t>
    </r>
  </si>
  <si>
    <r>
      <t xml:space="preserve">Complete inactivation of </t>
    </r>
    <r>
      <rPr>
        <i/>
        <sz val="10"/>
        <color indexed="8"/>
        <rFont val="Arial"/>
        <family val="2"/>
      </rPr>
      <t>B. globigii</t>
    </r>
    <r>
      <rPr>
        <sz val="10"/>
        <color indexed="8"/>
        <rFont val="Arial"/>
        <family val="2"/>
      </rPr>
      <t xml:space="preserve"> in WW7 using 5% bleach solution was achieved at 15 minutes.  </t>
    </r>
  </si>
  <si>
    <t xml:space="preserve">The corresponding CT and LI values were 35250 mg.min/mL and &gt; 7.04, respectively.  </t>
  </si>
  <si>
    <r>
      <rPr>
        <sz val="10"/>
        <color indexed="8"/>
        <rFont val="Calibri"/>
        <family val="2"/>
      </rPr>
      <t>&gt;</t>
    </r>
    <r>
      <rPr>
        <sz val="10"/>
        <color indexed="8"/>
        <rFont val="Arial"/>
        <family val="2"/>
      </rPr>
      <t>7.18</t>
    </r>
  </si>
  <si>
    <r>
      <t xml:space="preserve">Temperature of the water varied between 4.8 and 5.8 </t>
    </r>
    <r>
      <rPr>
        <vertAlign val="superscript"/>
        <sz val="10"/>
        <color theme="1"/>
        <rFont val="Arial"/>
        <family val="2"/>
      </rPr>
      <t>0</t>
    </r>
    <r>
      <rPr>
        <sz val="10"/>
        <color theme="1"/>
        <rFont val="Arial"/>
        <family val="2"/>
      </rPr>
      <t xml:space="preserve">C; however, the refrigerator temperature was between 7.0 - 9.0 </t>
    </r>
    <r>
      <rPr>
        <vertAlign val="superscript"/>
        <sz val="10"/>
        <color theme="1"/>
        <rFont val="Arial"/>
        <family val="2"/>
      </rPr>
      <t>0</t>
    </r>
    <r>
      <rPr>
        <sz val="10"/>
        <color theme="1"/>
        <rFont val="Arial"/>
        <family val="2"/>
      </rPr>
      <t>C.</t>
    </r>
  </si>
  <si>
    <t>The TSS contents were noticeably low in comparison with other tests conducted with same WW</t>
  </si>
  <si>
    <t xml:space="preserve">The corresponding CT and LI values were 32750 mg.min/mL and &gt; 7.18, respectively.  </t>
  </si>
  <si>
    <r>
      <t xml:space="preserve">The overall inactivation of B. globigii at 4 </t>
    </r>
    <r>
      <rPr>
        <vertAlign val="superscript"/>
        <sz val="10"/>
        <color theme="1"/>
        <rFont val="Arial"/>
        <family val="2"/>
      </rPr>
      <t>0</t>
    </r>
    <r>
      <rPr>
        <sz val="10"/>
        <color theme="1"/>
        <rFont val="Arial"/>
        <family val="2"/>
      </rPr>
      <t xml:space="preserve">C was slower than that observed at 20 </t>
    </r>
    <r>
      <rPr>
        <vertAlign val="superscript"/>
        <sz val="10"/>
        <color theme="1"/>
        <rFont val="Arial"/>
        <family val="2"/>
      </rPr>
      <t>0</t>
    </r>
    <r>
      <rPr>
        <sz val="10"/>
        <color theme="1"/>
        <rFont val="Arial"/>
        <family val="2"/>
      </rPr>
      <t xml:space="preserve">C for same washwater. </t>
    </r>
  </si>
  <si>
    <t>Future tests will be conducted after wrapping ice packs at the outer surface of the inactivation reactor.</t>
  </si>
  <si>
    <t>#11- Rusty Iron</t>
  </si>
  <si>
    <t>None</t>
  </si>
  <si>
    <t>Washwater from Rusty Iron with no Detergent</t>
  </si>
  <si>
    <r>
      <t xml:space="preserve">The rate of inactivation of HPC in WW 11 was similar to that observed in </t>
    </r>
    <r>
      <rPr>
        <i/>
        <sz val="10"/>
        <color indexed="8"/>
        <rFont val="Arial"/>
        <family val="2"/>
      </rPr>
      <t>B. globigii</t>
    </r>
    <r>
      <rPr>
        <sz val="10"/>
        <color indexed="8"/>
        <rFont val="Arial"/>
        <family val="2"/>
      </rPr>
      <t xml:space="preserve"> inactivation. </t>
    </r>
  </si>
  <si>
    <r>
      <t xml:space="preserve">The rate of inactivation of HPC in WW 11 was slightly higher than that observed in </t>
    </r>
    <r>
      <rPr>
        <i/>
        <sz val="10"/>
        <color indexed="8"/>
        <rFont val="Arial"/>
        <family val="2"/>
      </rPr>
      <t>B. globigii</t>
    </r>
    <r>
      <rPr>
        <sz val="10"/>
        <color indexed="8"/>
        <rFont val="Arial"/>
        <family val="2"/>
      </rPr>
      <t xml:space="preserve"> inactivation. </t>
    </r>
  </si>
  <si>
    <r>
      <t xml:space="preserve">2000 mL Washwater; Temperature: 20 </t>
    </r>
    <r>
      <rPr>
        <vertAlign val="superscript"/>
        <sz val="10"/>
        <rFont val="Arial"/>
        <family val="2"/>
      </rPr>
      <t>0</t>
    </r>
    <r>
      <rPr>
        <sz val="10"/>
        <rFont val="Arial"/>
        <family val="2"/>
      </rPr>
      <t>C</t>
    </r>
  </si>
  <si>
    <r>
      <rPr>
        <sz val="10"/>
        <color indexed="8"/>
        <rFont val="Calibri"/>
        <family val="2"/>
      </rPr>
      <t>&gt;</t>
    </r>
    <r>
      <rPr>
        <sz val="10"/>
        <color indexed="8"/>
        <rFont val="Arial"/>
        <family val="2"/>
      </rPr>
      <t>7.86</t>
    </r>
  </si>
  <si>
    <r>
      <t xml:space="preserve">Although complete inactivation was not achieved, the overall inactivation of B. globigii in WW 11 at 20 </t>
    </r>
    <r>
      <rPr>
        <vertAlign val="superscript"/>
        <sz val="10"/>
        <color theme="1"/>
        <rFont val="Arial"/>
        <family val="2"/>
      </rPr>
      <t>0</t>
    </r>
    <r>
      <rPr>
        <sz val="10"/>
        <color theme="1"/>
        <rFont val="Arial"/>
        <family val="2"/>
      </rPr>
      <t xml:space="preserve">C was noticeably higher </t>
    </r>
  </si>
  <si>
    <t xml:space="preserve">than that observed in tests conducted at 4 0C with same WW. </t>
  </si>
  <si>
    <t>&gt;6.92</t>
  </si>
  <si>
    <t>&gt;7.15</t>
  </si>
  <si>
    <r>
      <rPr>
        <sz val="10"/>
        <color indexed="8"/>
        <rFont val="Calibri"/>
        <family val="2"/>
      </rPr>
      <t>&gt;</t>
    </r>
    <r>
      <rPr>
        <sz val="10"/>
        <color indexed="8"/>
        <rFont val="Arial"/>
        <family val="2"/>
      </rPr>
      <t>7.87</t>
    </r>
  </si>
  <si>
    <r>
      <t>Turbidity (NTU</t>
    </r>
    <r>
      <rPr>
        <sz val="10"/>
        <rFont val="Arial"/>
        <family val="2"/>
      </rPr>
      <t>)</t>
    </r>
    <r>
      <rPr>
        <vertAlign val="superscript"/>
        <sz val="10"/>
        <rFont val="Arial"/>
        <family val="2"/>
      </rPr>
      <t>b</t>
    </r>
  </si>
  <si>
    <t>a: Log Inactivation based on the T0 concentration; b: Turbidity values are rounded as per T&amp;E SOP 507</t>
  </si>
  <si>
    <r>
      <t xml:space="preserve">The rate of inactivation of HPC in WW 11 at 4 </t>
    </r>
    <r>
      <rPr>
        <vertAlign val="superscript"/>
        <sz val="10"/>
        <color indexed="8"/>
        <rFont val="Arial"/>
        <family val="2"/>
      </rPr>
      <t>0</t>
    </r>
    <r>
      <rPr>
        <sz val="10"/>
        <color indexed="8"/>
        <rFont val="Arial"/>
        <family val="2"/>
      </rPr>
      <t xml:space="preserve">C was similar to that observed in </t>
    </r>
    <r>
      <rPr>
        <i/>
        <sz val="10"/>
        <color indexed="8"/>
        <rFont val="Arial"/>
        <family val="2"/>
      </rPr>
      <t>B. globigii</t>
    </r>
    <r>
      <rPr>
        <sz val="10"/>
        <color indexed="8"/>
        <rFont val="Arial"/>
        <family val="2"/>
      </rPr>
      <t xml:space="preserve"> inactivation. </t>
    </r>
  </si>
  <si>
    <t>a: Log Inactivation based on the T0 concentration; b) Turbidity values are rounded as per T&amp;E SOP 507</t>
  </si>
  <si>
    <t>were lower than that observed in previous test conducted with similar conditions.</t>
  </si>
  <si>
    <t>were similar to that observed in previous test conducted with similar conditions.</t>
  </si>
  <si>
    <t>The TSS content was noticeably low in comparison with other tests conducted with similar conditions</t>
  </si>
  <si>
    <r>
      <t xml:space="preserve">The rate of inactivation of HPC in WW 11 at 4 </t>
    </r>
    <r>
      <rPr>
        <vertAlign val="superscript"/>
        <sz val="10"/>
        <color indexed="8"/>
        <rFont val="Arial"/>
        <family val="2"/>
      </rPr>
      <t>0</t>
    </r>
    <r>
      <rPr>
        <sz val="10"/>
        <color indexed="8"/>
        <rFont val="Arial"/>
        <family val="2"/>
      </rPr>
      <t xml:space="preserve">C was slightly higher than that observed in </t>
    </r>
    <r>
      <rPr>
        <i/>
        <sz val="10"/>
        <color indexed="8"/>
        <rFont val="Arial"/>
        <family val="2"/>
      </rPr>
      <t>B. globigii</t>
    </r>
    <r>
      <rPr>
        <sz val="10"/>
        <color indexed="8"/>
        <rFont val="Arial"/>
        <family val="2"/>
      </rPr>
      <t xml:space="preserve"> inactivation. </t>
    </r>
  </si>
  <si>
    <r>
      <t xml:space="preserve">The turbidity values were noticeably lower than that observed in tests conducted with same WW at 4 </t>
    </r>
    <r>
      <rPr>
        <vertAlign val="superscript"/>
        <sz val="10"/>
        <color indexed="8"/>
        <rFont val="Arial"/>
        <family val="2"/>
      </rPr>
      <t>0</t>
    </r>
    <r>
      <rPr>
        <sz val="10"/>
        <color indexed="8"/>
        <rFont val="Arial"/>
        <family val="2"/>
      </rPr>
      <t xml:space="preserve">C. </t>
    </r>
  </si>
  <si>
    <t>The turbidity values were similar but the TSS values are considerably higher than that observed in previous test</t>
  </si>
  <si>
    <t>were considerably lower than that observed in previous test (11a) conducted with similar conditions.</t>
  </si>
  <si>
    <t>were similar to that observed in Test 11a conducted with similar conditions.</t>
  </si>
  <si>
    <t xml:space="preserve"> (11a) with same WW with similar conditions.</t>
  </si>
  <si>
    <t>with same WW with similar conditions.</t>
  </si>
  <si>
    <t xml:space="preserve">noticeably higher than that observed in tests conducted at 4 0C with same WW at 30 minutes of contact time. </t>
  </si>
  <si>
    <r>
      <t xml:space="preserve">Although complete inactivation was not achieved, the overall inactivation of B. globigii in WW 11 at 20 </t>
    </r>
    <r>
      <rPr>
        <vertAlign val="superscript"/>
        <sz val="10"/>
        <color theme="1"/>
        <rFont val="Arial"/>
        <family val="2"/>
      </rPr>
      <t>0</t>
    </r>
    <r>
      <rPr>
        <sz val="10"/>
        <color theme="1"/>
        <rFont val="Arial"/>
        <family val="2"/>
      </rPr>
      <t xml:space="preserve">C was  </t>
    </r>
  </si>
  <si>
    <r>
      <rPr>
        <sz val="10"/>
        <color indexed="8"/>
        <rFont val="Calibri"/>
        <family val="2"/>
      </rPr>
      <t>&gt;</t>
    </r>
    <r>
      <rPr>
        <sz val="10"/>
        <color indexed="8"/>
        <rFont val="Arial"/>
        <family val="2"/>
      </rPr>
      <t>7.04</t>
    </r>
    <r>
      <rPr>
        <vertAlign val="superscript"/>
        <sz val="10"/>
        <color indexed="8"/>
        <rFont val="Arial"/>
        <family val="2"/>
      </rPr>
      <t>c</t>
    </r>
  </si>
  <si>
    <t>c: The sample was overdiluted</t>
  </si>
  <si>
    <t xml:space="preserve">The turbidity values were similar but the TSS values are considerably higher than that observed in Test 11a </t>
  </si>
  <si>
    <t>The overall inactivation of B. globigii in WW 11 at 20 0C was noticeably higher than that observed in tests conducted at 4 0C</t>
  </si>
  <si>
    <t xml:space="preserve">pH of the matrix water increased considerably after the addition bleach solution, and it further </t>
  </si>
  <si>
    <t>increased after quenching by sodium thiosulfate.</t>
  </si>
  <si>
    <r>
      <t xml:space="preserve">Inactivation of B. globigii in WW 11 at 4 </t>
    </r>
    <r>
      <rPr>
        <vertAlign val="superscript"/>
        <sz val="10"/>
        <color theme="1"/>
        <rFont val="Arial"/>
        <family val="2"/>
      </rPr>
      <t>0</t>
    </r>
    <r>
      <rPr>
        <sz val="10"/>
        <color theme="1"/>
        <rFont val="Arial"/>
        <family val="2"/>
      </rPr>
      <t>C was noticeably slow.  Only 1.13 LIV was achieved after 30 minutes of contact time.</t>
    </r>
  </si>
  <si>
    <r>
      <t xml:space="preserve">Temperature of the water varied between 3.9 and 4.0 </t>
    </r>
    <r>
      <rPr>
        <vertAlign val="superscript"/>
        <sz val="10"/>
        <color theme="1"/>
        <rFont val="Arial"/>
        <family val="2"/>
      </rPr>
      <t>0</t>
    </r>
    <r>
      <rPr>
        <sz val="10"/>
        <color theme="1"/>
        <rFont val="Arial"/>
        <family val="2"/>
      </rPr>
      <t>C.</t>
    </r>
  </si>
  <si>
    <r>
      <t xml:space="preserve">Temperature of the water varied between 4.0 and 4.8 </t>
    </r>
    <r>
      <rPr>
        <vertAlign val="superscript"/>
        <sz val="10"/>
        <color theme="1"/>
        <rFont val="Arial"/>
        <family val="2"/>
      </rPr>
      <t>0</t>
    </r>
    <r>
      <rPr>
        <sz val="10"/>
        <color theme="1"/>
        <rFont val="Arial"/>
        <family val="2"/>
      </rPr>
      <t>C.</t>
    </r>
  </si>
  <si>
    <t>The COD concentrations remained approximately constant during the inactivation test.  The COD concentrations</t>
  </si>
  <si>
    <r>
      <t xml:space="preserve">Temperature of the water varied between 3.8 and 4.0 </t>
    </r>
    <r>
      <rPr>
        <vertAlign val="superscript"/>
        <sz val="10"/>
        <color theme="1"/>
        <rFont val="Arial"/>
        <family val="2"/>
      </rPr>
      <t>0</t>
    </r>
    <r>
      <rPr>
        <sz val="10"/>
        <color theme="1"/>
        <rFont val="Arial"/>
        <family val="2"/>
      </rPr>
      <t>C.</t>
    </r>
  </si>
  <si>
    <r>
      <t xml:space="preserve">Inactivation of B. globigii in WW 11 at 4 </t>
    </r>
    <r>
      <rPr>
        <vertAlign val="superscript"/>
        <sz val="10"/>
        <color theme="1"/>
        <rFont val="Arial"/>
        <family val="2"/>
      </rPr>
      <t>0</t>
    </r>
    <r>
      <rPr>
        <sz val="10"/>
        <color theme="1"/>
        <rFont val="Arial"/>
        <family val="2"/>
      </rPr>
      <t>C was noticeably slow.  Only 0.76 LIV was achieved after 30 minutes of contact time.</t>
    </r>
  </si>
  <si>
    <r>
      <t xml:space="preserve">Inactivation of B. globigii in WW 11 at 4 </t>
    </r>
    <r>
      <rPr>
        <vertAlign val="superscript"/>
        <sz val="10"/>
        <color theme="1"/>
        <rFont val="Arial"/>
        <family val="2"/>
      </rPr>
      <t>0</t>
    </r>
    <r>
      <rPr>
        <sz val="10"/>
        <color theme="1"/>
        <rFont val="Arial"/>
        <family val="2"/>
      </rPr>
      <t>C was noticeably slow.  Only 0.68 LIV was achieved after 30 minutes of contact time.</t>
    </r>
  </si>
  <si>
    <t xml:space="preserve">Complete inactivation B. globigii was achieved at 30 minutes of contact time in this test. </t>
  </si>
  <si>
    <r>
      <t xml:space="preserve">were similar to that observed in previous tests conducted with same WW at 4 </t>
    </r>
    <r>
      <rPr>
        <vertAlign val="superscript"/>
        <sz val="10"/>
        <color theme="1"/>
        <rFont val="Arial"/>
        <family val="2"/>
      </rPr>
      <t>0</t>
    </r>
    <r>
      <rPr>
        <sz val="10"/>
        <color theme="1"/>
        <rFont val="Arial"/>
        <family val="2"/>
      </rPr>
      <t>C.</t>
    </r>
  </si>
  <si>
    <r>
      <t xml:space="preserve">Temperature of the water varied between 22.5 and 23.0 </t>
    </r>
    <r>
      <rPr>
        <vertAlign val="superscript"/>
        <sz val="10"/>
        <color theme="1"/>
        <rFont val="Arial"/>
        <family val="2"/>
      </rPr>
      <t>0</t>
    </r>
    <r>
      <rPr>
        <sz val="10"/>
        <color theme="1"/>
        <rFont val="Arial"/>
        <family val="2"/>
      </rPr>
      <t>C.</t>
    </r>
  </si>
  <si>
    <r>
      <t xml:space="preserve">Temperature of the water varied between 23.1 and 23.3 </t>
    </r>
    <r>
      <rPr>
        <vertAlign val="superscript"/>
        <sz val="10"/>
        <color theme="1"/>
        <rFont val="Arial"/>
        <family val="2"/>
      </rPr>
      <t>0</t>
    </r>
    <r>
      <rPr>
        <sz val="10"/>
        <color theme="1"/>
        <rFont val="Arial"/>
        <family val="2"/>
      </rPr>
      <t>C.</t>
    </r>
  </si>
  <si>
    <r>
      <t xml:space="preserve">Temperature of the water varied between 22.6 and 22.9 </t>
    </r>
    <r>
      <rPr>
        <vertAlign val="superscript"/>
        <sz val="10"/>
        <color theme="1"/>
        <rFont val="Arial"/>
        <family val="2"/>
      </rPr>
      <t>0</t>
    </r>
    <r>
      <rPr>
        <sz val="10"/>
        <color theme="1"/>
        <rFont val="Arial"/>
        <family val="2"/>
      </rPr>
      <t>C.</t>
    </r>
  </si>
  <si>
    <t xml:space="preserve">The COD concentrations remained approximately constant during the inactivation test.  The COD concentrations </t>
  </si>
  <si>
    <r>
      <t xml:space="preserve">with same WW.  The rate of inactivation of HPC in WW 11 was similar to that observed in </t>
    </r>
    <r>
      <rPr>
        <i/>
        <sz val="10"/>
        <color indexed="8"/>
        <rFont val="Arial"/>
        <family val="2"/>
      </rPr>
      <t>B. globigii</t>
    </r>
    <r>
      <rPr>
        <sz val="10"/>
        <color indexed="8"/>
        <rFont val="Arial"/>
        <family val="2"/>
      </rPr>
      <t xml:space="preserve"> inactivation. </t>
    </r>
  </si>
  <si>
    <t>#10 - Car Wash</t>
  </si>
  <si>
    <t>1% Dawn</t>
  </si>
  <si>
    <t>Washwater from car wash with 1% Dawn</t>
  </si>
  <si>
    <r>
      <rPr>
        <sz val="10"/>
        <color indexed="8"/>
        <rFont val="Calibri"/>
        <family val="2"/>
      </rPr>
      <t>&gt;</t>
    </r>
    <r>
      <rPr>
        <sz val="10"/>
        <color indexed="8"/>
        <rFont val="Arial"/>
        <family val="2"/>
      </rPr>
      <t>7.17</t>
    </r>
  </si>
  <si>
    <t>60 Dup</t>
  </si>
  <si>
    <r>
      <t>Complete inactivation</t>
    </r>
    <r>
      <rPr>
        <i/>
        <sz val="10"/>
        <color theme="1"/>
        <rFont val="Arial"/>
        <family val="2"/>
      </rPr>
      <t xml:space="preserve"> B. globigii </t>
    </r>
    <r>
      <rPr>
        <sz val="10"/>
        <color theme="1"/>
        <rFont val="Arial"/>
        <family val="2"/>
      </rPr>
      <t xml:space="preserve">was not achieved at even 60 minutes of contact time in this test. </t>
    </r>
  </si>
  <si>
    <t>The rate of inactivation was very slow up to 30 minutes of contact time, and it increased noticeably at 60 minutes.</t>
  </si>
  <si>
    <r>
      <t xml:space="preserve">The rate of inactivation of HPC in this test was faster than that observed in </t>
    </r>
    <r>
      <rPr>
        <i/>
        <sz val="10"/>
        <color indexed="8"/>
        <rFont val="Arial"/>
        <family val="2"/>
      </rPr>
      <t>B. globigii</t>
    </r>
    <r>
      <rPr>
        <sz val="10"/>
        <color indexed="8"/>
        <rFont val="Arial"/>
        <family val="2"/>
      </rPr>
      <t xml:space="preserve"> inactivation. </t>
    </r>
  </si>
  <si>
    <r>
      <t xml:space="preserve">Temperature of the water varied between 3.5 and 4.2 </t>
    </r>
    <r>
      <rPr>
        <vertAlign val="superscript"/>
        <sz val="10"/>
        <color theme="1"/>
        <rFont val="Arial"/>
        <family val="2"/>
      </rPr>
      <t>0</t>
    </r>
    <r>
      <rPr>
        <sz val="10"/>
        <color theme="1"/>
        <rFont val="Arial"/>
        <family val="2"/>
      </rPr>
      <t>C</t>
    </r>
  </si>
  <si>
    <t xml:space="preserve">Complete inactivation B. globigii was not achieved at even 60 minutes of contact time in this test. </t>
  </si>
  <si>
    <r>
      <rPr>
        <sz val="10"/>
        <color indexed="8"/>
        <rFont val="Calibri"/>
        <family val="2"/>
      </rPr>
      <t>&gt;</t>
    </r>
    <r>
      <rPr>
        <sz val="10"/>
        <color indexed="8"/>
        <rFont val="Arial"/>
        <family val="2"/>
      </rPr>
      <t>7.26</t>
    </r>
  </si>
  <si>
    <r>
      <rPr>
        <sz val="10"/>
        <color indexed="8"/>
        <rFont val="Calibri"/>
        <family val="2"/>
      </rPr>
      <t>&gt;</t>
    </r>
    <r>
      <rPr>
        <sz val="10"/>
        <color indexed="8"/>
        <rFont val="Arial"/>
        <family val="2"/>
      </rPr>
      <t>7.32</t>
    </r>
  </si>
  <si>
    <r>
      <t>330</t>
    </r>
    <r>
      <rPr>
        <vertAlign val="superscript"/>
        <sz val="10"/>
        <rFont val="Arial"/>
        <family val="2"/>
      </rPr>
      <t>c</t>
    </r>
  </si>
  <si>
    <r>
      <t>206</t>
    </r>
    <r>
      <rPr>
        <vertAlign val="superscript"/>
        <sz val="10"/>
        <rFont val="Arial"/>
        <family val="2"/>
      </rPr>
      <t>c</t>
    </r>
  </si>
  <si>
    <t xml:space="preserve">The average COD concentration (8020 mg/L) is noticeably higher than that observed in Test 21 (6343 mg/L) </t>
  </si>
  <si>
    <t>was observed at 30 minutes of contact time.</t>
  </si>
  <si>
    <r>
      <rPr>
        <sz val="10"/>
        <color indexed="8"/>
        <rFont val="Calibri"/>
        <family val="2"/>
      </rPr>
      <t>&gt;</t>
    </r>
    <r>
      <rPr>
        <sz val="10"/>
        <color indexed="8"/>
        <rFont val="Arial"/>
        <family val="2"/>
      </rPr>
      <t>7.66</t>
    </r>
  </si>
  <si>
    <r>
      <rPr>
        <sz val="10"/>
        <color indexed="8"/>
        <rFont val="Calibri"/>
        <family val="2"/>
      </rPr>
      <t>&gt;</t>
    </r>
    <r>
      <rPr>
        <sz val="10"/>
        <color indexed="8"/>
        <rFont val="Arial"/>
        <family val="2"/>
      </rPr>
      <t>7.07</t>
    </r>
  </si>
  <si>
    <r>
      <t>166</t>
    </r>
    <r>
      <rPr>
        <vertAlign val="superscript"/>
        <sz val="10"/>
        <rFont val="Arial"/>
        <family val="2"/>
      </rPr>
      <t>c</t>
    </r>
  </si>
  <si>
    <r>
      <t>222</t>
    </r>
    <r>
      <rPr>
        <vertAlign val="superscript"/>
        <sz val="10"/>
        <rFont val="Arial"/>
        <family val="2"/>
      </rPr>
      <t>c</t>
    </r>
  </si>
  <si>
    <t xml:space="preserve">The average COD concentration (6505 mg/L) is noticeably less than that observed in Test 10a (8020 mg/L) </t>
  </si>
  <si>
    <r>
      <rPr>
        <sz val="10"/>
        <color indexed="8"/>
        <rFont val="Calibri"/>
        <family val="2"/>
      </rPr>
      <t>&gt;</t>
    </r>
    <r>
      <rPr>
        <sz val="10"/>
        <color indexed="8"/>
        <rFont val="Arial"/>
        <family val="2"/>
      </rPr>
      <t>7.00</t>
    </r>
  </si>
  <si>
    <t xml:space="preserve">The average COD concentration (6912 mg/L) is noticeably less than that observed in Test 10a (8020 mg/L) </t>
  </si>
  <si>
    <r>
      <t xml:space="preserve">Temperature of the water varied between 2.9 and 3.6 </t>
    </r>
    <r>
      <rPr>
        <vertAlign val="superscript"/>
        <sz val="10"/>
        <color theme="1"/>
        <rFont val="Arial"/>
        <family val="2"/>
      </rPr>
      <t>0</t>
    </r>
    <r>
      <rPr>
        <sz val="10"/>
        <color theme="1"/>
        <rFont val="Arial"/>
        <family val="2"/>
      </rPr>
      <t>C.</t>
    </r>
  </si>
  <si>
    <t>The turbidity values varied considerably among samples during the test.</t>
  </si>
  <si>
    <t>a: Log Inactivation based on the T0 concentration; b: Turbidity values are rounded as SOP 507.</t>
  </si>
  <si>
    <t>a: Log Inactivation based on the T0 concentration; Turbidity values are rounded as per SOP 507.</t>
  </si>
  <si>
    <t xml:space="preserve">The turbidity values relatively consistent among samples during the test.  The average turbidity (503 NTU) </t>
  </si>
  <si>
    <t>is noticeably less than that observed in Test 21a (688 NTU) with the same WW at similar condition.</t>
  </si>
  <si>
    <r>
      <t xml:space="preserve">Temperature of the water varied between 2.4 and 2.8 </t>
    </r>
    <r>
      <rPr>
        <vertAlign val="superscript"/>
        <sz val="10"/>
        <color theme="1"/>
        <rFont val="Arial"/>
        <family val="2"/>
      </rPr>
      <t>0</t>
    </r>
    <r>
      <rPr>
        <sz val="10"/>
        <color theme="1"/>
        <rFont val="Arial"/>
        <family val="2"/>
      </rPr>
      <t>C.</t>
    </r>
  </si>
  <si>
    <t xml:space="preserve">pH of the matrix water increased considerably after the addition bleach solution, and it decreased </t>
  </si>
  <si>
    <t>slightly after quenching by sodium thiosulfate.</t>
  </si>
  <si>
    <t xml:space="preserve">The turbidity values relatively consistent among samples during the test.  The average turbidity (588 NTU) </t>
  </si>
  <si>
    <t>is relatively less than that observed in Test 21a (688 NTU) with the same WW at similar condition.</t>
  </si>
  <si>
    <t>a: Log Inactivation based on the T0 concentration; b: Turbidity values are rounded as per SOP 507.</t>
  </si>
  <si>
    <t>c: RPD of the measurement did not meet the criteria.</t>
  </si>
  <si>
    <t>c: RPD does not meet the criteria.</t>
  </si>
  <si>
    <t>N/A - Sample was missing.</t>
  </si>
  <si>
    <r>
      <t xml:space="preserve">Temperature of the water varied between 20.8 and 22.3 </t>
    </r>
    <r>
      <rPr>
        <vertAlign val="superscript"/>
        <sz val="10"/>
        <color theme="1"/>
        <rFont val="Arial"/>
        <family val="2"/>
      </rPr>
      <t>0</t>
    </r>
    <r>
      <rPr>
        <sz val="10"/>
        <color theme="1"/>
        <rFont val="Arial"/>
        <family val="2"/>
      </rPr>
      <t>C.</t>
    </r>
  </si>
  <si>
    <r>
      <t xml:space="preserve">Temperature of the water varied between 24.1 and 24.6 </t>
    </r>
    <r>
      <rPr>
        <vertAlign val="superscript"/>
        <sz val="10"/>
        <color theme="1"/>
        <rFont val="Arial"/>
        <family val="2"/>
      </rPr>
      <t>0</t>
    </r>
    <r>
      <rPr>
        <sz val="10"/>
        <color theme="1"/>
        <rFont val="Arial"/>
        <family val="2"/>
      </rPr>
      <t>C.</t>
    </r>
  </si>
  <si>
    <t>pH of the matrix water increased considerably after the addition bleach solution, and it increased further</t>
  </si>
  <si>
    <t xml:space="preserve">The turbidity values relatively consistent among samples during the test.  The average turbidity (248 NTU) </t>
  </si>
  <si>
    <t>Complete inactivation B. globigii was achieved at 60 minutes of contact time in this test.  The LI value at 60 minutes</t>
  </si>
  <si>
    <t>contact time was &gt;7.04, and the associated CT value was 153429 mg.min/L.</t>
  </si>
  <si>
    <r>
      <t xml:space="preserve">The rate of inactivation of HPC was faster than that observed in </t>
    </r>
    <r>
      <rPr>
        <i/>
        <sz val="10"/>
        <color indexed="8"/>
        <rFont val="Arial"/>
        <family val="2"/>
      </rPr>
      <t>B. globigii</t>
    </r>
    <r>
      <rPr>
        <sz val="10"/>
        <color indexed="8"/>
        <rFont val="Arial"/>
        <family val="2"/>
      </rPr>
      <t xml:space="preserve"> inactivation.  Complete inactivation of HPC</t>
    </r>
  </si>
  <si>
    <t>pH of the matrix water increased considerably after the addition of bleach solution, and it increased further</t>
  </si>
  <si>
    <t>after quenching by sodium thiosulfate.</t>
  </si>
  <si>
    <t>same WW at 4C.</t>
  </si>
  <si>
    <t xml:space="preserve">The turbidity values relatively consistent among samples during the test.  The average turbidity (234 NTU) </t>
  </si>
  <si>
    <t>contact time was &gt;7.07, and the associated CT value was 165420 mg.min/L.</t>
  </si>
  <si>
    <t>contact time was &gt;7.00, and the associated CT value was 157714 mg.min/L.</t>
  </si>
  <si>
    <t xml:space="preserve">conducted with same WW at 20C, but similar to that observed in Test 21a (6343 mg/L) conducted with </t>
  </si>
  <si>
    <t>same the WW at 4C.</t>
  </si>
  <si>
    <t>conducted with the same WW at 4C.</t>
  </si>
  <si>
    <t xml:space="preserve">conducted with the same WW at 20C, but it is similar to that observed in Test 21a (6343 mg/L) conducted with </t>
  </si>
  <si>
    <t xml:space="preserve">is similar to that observed in Test 10a conducted with the same WW at 20C, but it is noticeably less than that </t>
  </si>
  <si>
    <t xml:space="preserve">The turbidity values relatively consistent among samples during the test.  The average turbidity (216 NTU) </t>
  </si>
  <si>
    <t xml:space="preserve">is similar to that observed in Test 10a (248 NTU) conducted with same WW at 20C, but it is noticeably less than that </t>
  </si>
  <si>
    <t xml:space="preserve">observed in Test 21a (688 NTU) with the same WW at 4C. </t>
  </si>
  <si>
    <t>is noticeably less than that observed in Test 21a (688 NTU) with the same WW at 4C.</t>
  </si>
  <si>
    <t>Washwater from floor wash with 1% Dawn using Tap Water</t>
  </si>
  <si>
    <t>&gt; 6.88</t>
  </si>
  <si>
    <t>&gt;6.88</t>
  </si>
  <si>
    <r>
      <t>0</t>
    </r>
    <r>
      <rPr>
        <vertAlign val="superscript"/>
        <sz val="10"/>
        <rFont val="Arial"/>
        <family val="2"/>
      </rPr>
      <t>c</t>
    </r>
  </si>
  <si>
    <t>pH of the matrix water did not increase after the addition of bleach solution unlike previous tests where pH increased</t>
  </si>
  <si>
    <t xml:space="preserve">considerably after the addition of bleach solution. However, it increased after quenching by sodium thiosulfate following  </t>
  </si>
  <si>
    <t>the similar trend as the previous tests.</t>
  </si>
  <si>
    <t xml:space="preserve">The turbidity values relatively consistent among samples during the test.  The average turbidity is 613 NTU. </t>
  </si>
  <si>
    <r>
      <t xml:space="preserve">Complete inactivation </t>
    </r>
    <r>
      <rPr>
        <i/>
        <sz val="10"/>
        <color theme="1"/>
        <rFont val="Arial"/>
        <family val="2"/>
      </rPr>
      <t xml:space="preserve">B. globigii </t>
    </r>
    <r>
      <rPr>
        <sz val="10"/>
        <color theme="1"/>
        <rFont val="Arial"/>
        <family val="2"/>
      </rPr>
      <t>was achieved at 5 minutes of contact time in this test.  The LI value at 5 minutes</t>
    </r>
  </si>
  <si>
    <t>contact time was &gt;6.88, and the associated CT value was 12715 mg.min/L.</t>
  </si>
  <si>
    <t>&gt;7.04</t>
  </si>
  <si>
    <t>&gt; 7.04</t>
  </si>
  <si>
    <t>c: Sample was probably overdiluted.</t>
  </si>
  <si>
    <t xml:space="preserve">The turbidity values relatively consistent among samples during the test.  The average turbidity was 694 NTU which was </t>
  </si>
  <si>
    <t>similar to that observed in previous test conducted with same WW and identical conditions.</t>
  </si>
  <si>
    <t>contact time was &gt;7.04, and the associated CT value was 75420 mg.min/L.</t>
  </si>
  <si>
    <t>at 5 minutes of contact time.</t>
  </si>
  <si>
    <t>&gt;7.11</t>
  </si>
  <si>
    <t xml:space="preserve">The turbidity values relatively consistent among samples during the test.  The average turbidity was 606 NTU which was </t>
  </si>
  <si>
    <r>
      <t xml:space="preserve">Complete inactivation </t>
    </r>
    <r>
      <rPr>
        <i/>
        <sz val="10"/>
        <color theme="1"/>
        <rFont val="Arial"/>
        <family val="2"/>
      </rPr>
      <t xml:space="preserve">B. globigii </t>
    </r>
    <r>
      <rPr>
        <sz val="10"/>
        <color theme="1"/>
        <rFont val="Arial"/>
        <family val="2"/>
      </rPr>
      <t>was achieved at 10 minutes of contact time in this test.  The LI value at 10 minutes</t>
    </r>
  </si>
  <si>
    <t>contact time was &gt;7.11, and the associated CT value was 22710 mg.min/L.</t>
  </si>
  <si>
    <t>at 3 minutes of contact time.</t>
  </si>
  <si>
    <t>&gt; 7.17</t>
  </si>
  <si>
    <t>&gt;7.17</t>
  </si>
  <si>
    <t xml:space="preserve">The turbidity values relatively consistent among samples during the test.  The average turbidity was 713 NTU which was </t>
  </si>
  <si>
    <t>contact time was &gt;7.17, and the associated CT value was 25860 mg.min/L.</t>
  </si>
  <si>
    <t>at 10 minutes of contact time.</t>
  </si>
  <si>
    <t>with the results of the last test conducted with same WW and identical conditions.</t>
  </si>
  <si>
    <t>at 10 minutes of contact time. The results are similar to that oberved in the last test conducted with same WW and identical conditions.</t>
  </si>
  <si>
    <t>&gt;7.26</t>
  </si>
  <si>
    <t xml:space="preserve">sodium thiosulfate. This trend is not similar to that observed in other tests conucted with same WW. However, it is   </t>
  </si>
  <si>
    <t>similar to that observed in tests conducted with other WW..</t>
  </si>
  <si>
    <t xml:space="preserve">The turbidity values relatively consistent among samples during the test.  The average turbidity was 625 NTU which was </t>
  </si>
  <si>
    <t>observed in Test 12a conducted with same WW and identical conditions.</t>
  </si>
  <si>
    <t xml:space="preserve">at 10 minutes of contact time. </t>
  </si>
  <si>
    <t xml:space="preserve">pH of the matrix water did not increase after the addition of bleach solution unlike previous tests conducted with </t>
  </si>
  <si>
    <t>quenching by sodium thiosulfate following the similar trend as the previous tests.</t>
  </si>
  <si>
    <t xml:space="preserve">positive values in some samples, probably due to soap (turbidity) in the matrix water. The multiplying factor due to dilution of </t>
  </si>
  <si>
    <t>the treated samples caused the numbers (interfernces) higher and inconsistent with other tests conducted with other WW.</t>
  </si>
  <si>
    <t>positive values in some samples, probably due to soap (turbidity) in the matrix water. The multiplying factor due to dilution of</t>
  </si>
  <si>
    <t xml:space="preserve">c: Sample was overdiluted </t>
  </si>
  <si>
    <t>The average COD concentration was 3593 mg/L.</t>
  </si>
  <si>
    <t>The treated samples for free chlorine were diluted 10 fold that was inconsistent with the analysis conducted for other WW.</t>
  </si>
  <si>
    <t>N/A - Not available, samples were not analyzed.</t>
  </si>
  <si>
    <t xml:space="preserve">The average COD concentration was 3640 mg/L. </t>
  </si>
  <si>
    <t xml:space="preserve">The TDS data is noticeable higher than that observed in other tests conducted using same WW. </t>
  </si>
  <si>
    <t>The average COD concentration was 3178 mg/L.</t>
  </si>
  <si>
    <t xml:space="preserve">The average COD concentration was 3498 mg/L. </t>
  </si>
  <si>
    <t xml:space="preserve">other WW where pH increased considerably after the addition of bleach solution. However, it increased after  </t>
  </si>
  <si>
    <t>N/A - Not available, insufficient sample was available for re-analysis</t>
  </si>
  <si>
    <t xml:space="preserve">The COD concentration is 3470 mg/L for T60 sampling event. </t>
  </si>
  <si>
    <t>COD was not analyzed for other times due to insufficient sample.</t>
  </si>
  <si>
    <r>
      <t xml:space="preserve">Free Cl (mg/L)
(Sample) </t>
    </r>
    <r>
      <rPr>
        <b/>
        <vertAlign val="superscript"/>
        <sz val="10"/>
        <rFont val="Arial"/>
        <family val="2"/>
      </rPr>
      <t>c</t>
    </r>
  </si>
  <si>
    <r>
      <t>Free Cl (mg/L)
(Sample)</t>
    </r>
    <r>
      <rPr>
        <b/>
        <vertAlign val="superscript"/>
        <sz val="10"/>
        <rFont val="Arial"/>
        <family val="2"/>
      </rPr>
      <t>c</t>
    </r>
  </si>
  <si>
    <t>The average COD concentration was 3455 mg/L.</t>
  </si>
  <si>
    <t>similar to that observed in previous test conducted with same WW at 20C.</t>
  </si>
  <si>
    <t>Test #</t>
  </si>
  <si>
    <t>LI</t>
  </si>
  <si>
    <t>14a</t>
  </si>
  <si>
    <t>3a</t>
  </si>
  <si>
    <t>14b</t>
  </si>
  <si>
    <t>3b</t>
  </si>
  <si>
    <t>14c</t>
  </si>
  <si>
    <t>3c</t>
  </si>
  <si>
    <t>18a</t>
  </si>
  <si>
    <t>7a</t>
  </si>
  <si>
    <t>18b</t>
  </si>
  <si>
    <t>7b</t>
  </si>
  <si>
    <t>18c</t>
  </si>
  <si>
    <t>7c</t>
  </si>
  <si>
    <t>22a</t>
  </si>
  <si>
    <t>11a</t>
  </si>
  <si>
    <t>22b</t>
  </si>
  <si>
    <t>11b</t>
  </si>
  <si>
    <t>22c</t>
  </si>
  <si>
    <t>11c</t>
  </si>
  <si>
    <t>21a</t>
  </si>
  <si>
    <t>10a</t>
  </si>
  <si>
    <t>21b</t>
  </si>
  <si>
    <t>10b</t>
  </si>
  <si>
    <t>21c</t>
  </si>
  <si>
    <t>10c</t>
  </si>
  <si>
    <t>12a</t>
  </si>
  <si>
    <t>1a</t>
  </si>
  <si>
    <t>12b</t>
  </si>
  <si>
    <t>1b</t>
  </si>
  <si>
    <t>12c</t>
  </si>
  <si>
    <t>1c</t>
  </si>
  <si>
    <t>#1 Floor Wash-Tap Water</t>
  </si>
  <si>
    <t>Washwater from floor wash with 1% Alconox using Tap Water</t>
  </si>
  <si>
    <t>&gt; 6.95</t>
  </si>
  <si>
    <t>&gt; 7.30</t>
  </si>
  <si>
    <t>sodium thiosulfate.  This trend is similar to that observed in tests conducted with other WW.</t>
  </si>
  <si>
    <t xml:space="preserve">The average COD concentration was 3145 mg/L. </t>
  </si>
  <si>
    <t xml:space="preserve">positive values in some samples, probably due to soap (turbidity) in the matrix water. </t>
  </si>
  <si>
    <r>
      <t>similar to that observed in previous tests conducted with same WW at 20</t>
    </r>
    <r>
      <rPr>
        <vertAlign val="superscript"/>
        <sz val="10"/>
        <color theme="1"/>
        <rFont val="Arial"/>
        <family val="2"/>
      </rPr>
      <t xml:space="preserve"> 0</t>
    </r>
    <r>
      <rPr>
        <sz val="10"/>
        <color theme="1"/>
        <rFont val="Arial"/>
        <family val="2"/>
      </rPr>
      <t xml:space="preserve">C and 4 </t>
    </r>
    <r>
      <rPr>
        <vertAlign val="superscript"/>
        <sz val="10"/>
        <color theme="1"/>
        <rFont val="Arial"/>
        <family val="2"/>
      </rPr>
      <t>0</t>
    </r>
    <r>
      <rPr>
        <sz val="10"/>
        <color theme="1"/>
        <rFont val="Arial"/>
        <family val="2"/>
      </rPr>
      <t>C.</t>
    </r>
  </si>
  <si>
    <t xml:space="preserve">at 10 minutes of contact time, similar to Test 12a. </t>
  </si>
  <si>
    <t>1 Dup</t>
  </si>
  <si>
    <t>&gt; 7.43</t>
  </si>
  <si>
    <t>9.16*</t>
  </si>
  <si>
    <t>* T60 Dup may not have had enough thiosulfate neutralization.</t>
  </si>
  <si>
    <r>
      <t>Temperature of the water varied between 19.1 and 20.7</t>
    </r>
    <r>
      <rPr>
        <vertAlign val="superscript"/>
        <sz val="10"/>
        <color theme="1"/>
        <rFont val="Arial"/>
        <family val="2"/>
      </rPr>
      <t>0</t>
    </r>
    <r>
      <rPr>
        <sz val="10"/>
        <color theme="1"/>
        <rFont val="Arial"/>
        <family val="2"/>
      </rPr>
      <t xml:space="preserve">C, </t>
    </r>
  </si>
  <si>
    <t xml:space="preserve">The TDS data is to that observed in other tests conducted using same WW (WW1-1a). </t>
  </si>
  <si>
    <t>contact time was &gt;7.11, and the associated CT value was 23857 mg.min/L.</t>
  </si>
  <si>
    <t>at 5 minutes of contact time (LI&gt;7.43, CT=11929).</t>
  </si>
  <si>
    <t>similar to that observed in the 48 hour test conducted with same WW, but slightly lower than the same day test (~600 NTU).</t>
  </si>
  <si>
    <t>Particulate Matter - 0 hr hold time</t>
  </si>
  <si>
    <t>&gt; 7.9</t>
  </si>
  <si>
    <t>&gt; 8.1</t>
  </si>
  <si>
    <t>Particulate Matter - 48 hr hold time Repeat</t>
  </si>
  <si>
    <t>Particulate Matter - 96 hr hold time Repeat</t>
  </si>
  <si>
    <t>&gt; 8.9</t>
  </si>
  <si>
    <t>&gt; 8.0</t>
  </si>
  <si>
    <t>&gt; 7.95</t>
  </si>
  <si>
    <t>&gt; 8.65</t>
  </si>
  <si>
    <t>Particulate Matter - 96 hr hold time Repeat 2</t>
  </si>
  <si>
    <t>33 (Bench)</t>
  </si>
  <si>
    <t>WW 12</t>
  </si>
  <si>
    <t>34 (Bench)</t>
  </si>
  <si>
    <t>WW12:  AR-AFFF wastewater</t>
  </si>
  <si>
    <t xml:space="preserve">pH of the matrix water increased after the addition of bleach solution, and it increased further after the addition of  </t>
  </si>
  <si>
    <t xml:space="preserve">The TDS data is similar to that observed in other tests conducted using same WW (WW1-1a). </t>
  </si>
  <si>
    <t xml:space="preserve">The turbidity values were relatively consistent among samples during the test.  The average turbidity was 473 NTU which was </t>
  </si>
  <si>
    <r>
      <t xml:space="preserve">Complete inactivation </t>
    </r>
    <r>
      <rPr>
        <i/>
        <sz val="10"/>
        <color theme="1"/>
        <rFont val="Arial"/>
        <family val="2"/>
      </rPr>
      <t xml:space="preserve">B. globigii </t>
    </r>
    <r>
      <rPr>
        <sz val="10"/>
        <color theme="1"/>
        <rFont val="Arial"/>
        <family val="2"/>
      </rPr>
      <t>was achieved at 60 minutes of contact time in this test.  The LI value at 60 minutes</t>
    </r>
  </si>
  <si>
    <r>
      <t xml:space="preserve">The rate of inactivation of HPC was faster than that observed in </t>
    </r>
    <r>
      <rPr>
        <i/>
        <sz val="10"/>
        <color indexed="8"/>
        <rFont val="Arial"/>
        <family val="2"/>
      </rPr>
      <t>B. globigii</t>
    </r>
    <r>
      <rPr>
        <sz val="10"/>
        <color indexed="8"/>
        <rFont val="Arial"/>
        <family val="2"/>
      </rPr>
      <t xml:space="preserve"> inactivation. Complete inactivation of HPC was observed </t>
    </r>
  </si>
  <si>
    <r>
      <t xml:space="preserve">The rate of inactivation of HPC was faster than that observed in </t>
    </r>
    <r>
      <rPr>
        <i/>
        <sz val="10"/>
        <color indexed="8"/>
        <rFont val="Arial"/>
        <family val="2"/>
      </rPr>
      <t>B. globigii</t>
    </r>
    <r>
      <rPr>
        <sz val="10"/>
        <color indexed="8"/>
        <rFont val="Arial"/>
        <family val="2"/>
      </rPr>
      <t xml:space="preserve"> inactivation. Complete inactivation of HPC was observed   </t>
    </r>
  </si>
  <si>
    <r>
      <t xml:space="preserve">Temperature of the water varied between 5.2 and 5.5 </t>
    </r>
    <r>
      <rPr>
        <vertAlign val="superscript"/>
        <sz val="10"/>
        <color theme="1"/>
        <rFont val="Arial"/>
        <family val="2"/>
      </rPr>
      <t>0</t>
    </r>
    <r>
      <rPr>
        <sz val="10"/>
        <color theme="1"/>
        <rFont val="Arial"/>
        <family val="2"/>
      </rPr>
      <t>C.</t>
    </r>
  </si>
  <si>
    <r>
      <t xml:space="preserve">Temperature of the water varied between 3.8 and 4.7 </t>
    </r>
    <r>
      <rPr>
        <vertAlign val="superscript"/>
        <sz val="10"/>
        <color theme="1"/>
        <rFont val="Arial"/>
        <family val="2"/>
      </rPr>
      <t>0</t>
    </r>
    <r>
      <rPr>
        <sz val="10"/>
        <color theme="1"/>
        <rFont val="Arial"/>
        <family val="2"/>
      </rPr>
      <t>C.</t>
    </r>
  </si>
  <si>
    <t xml:space="preserve">The average COD concentration was 3487 mg/L. </t>
  </si>
  <si>
    <t xml:space="preserve">The turbidity values were relatively consistent among samples during the test.  The average turbidity was 482 NTU which was </t>
  </si>
  <si>
    <t xml:space="preserve">at 10minutes of contact time (LI &gt;8.1, CT= 22857). </t>
  </si>
  <si>
    <t xml:space="preserve">pH of the sample water increased after the addition of bleach solution, and it increased further after the addition of  </t>
  </si>
  <si>
    <r>
      <t xml:space="preserve">Temperature of the water varied between 4.5 and 5.2 </t>
    </r>
    <r>
      <rPr>
        <vertAlign val="superscript"/>
        <sz val="10"/>
        <color theme="1"/>
        <rFont val="Arial"/>
        <family val="2"/>
      </rPr>
      <t>0</t>
    </r>
    <r>
      <rPr>
        <sz val="10"/>
        <color theme="1"/>
        <rFont val="Arial"/>
        <family val="2"/>
      </rPr>
      <t xml:space="preserve">C, </t>
    </r>
  </si>
  <si>
    <r>
      <t>Temperature of the water varied between 19.6 and 22</t>
    </r>
    <r>
      <rPr>
        <vertAlign val="superscript"/>
        <sz val="10"/>
        <color theme="1"/>
        <rFont val="Arial"/>
        <family val="2"/>
      </rPr>
      <t>0</t>
    </r>
    <r>
      <rPr>
        <sz val="10"/>
        <color theme="1"/>
        <rFont val="Arial"/>
        <family val="2"/>
      </rPr>
      <t xml:space="preserve">C, </t>
    </r>
  </si>
  <si>
    <t>pH of the matrix water increased after the addition of bleach solution like previous tests where pH increased</t>
  </si>
  <si>
    <t xml:space="preserve">The TDS data is  similar to the 48 hr test but ~ 5x lower than that observed in the same day test conducted using the same WW. </t>
  </si>
  <si>
    <r>
      <t xml:space="preserve">Temperature of the water varied between 19.2 and 20.4 </t>
    </r>
    <r>
      <rPr>
        <vertAlign val="superscript"/>
        <sz val="10"/>
        <color theme="1"/>
        <rFont val="Arial"/>
        <family val="2"/>
      </rPr>
      <t>0</t>
    </r>
    <r>
      <rPr>
        <sz val="10"/>
        <color theme="1"/>
        <rFont val="Arial"/>
        <family val="2"/>
      </rPr>
      <t xml:space="preserve">C, </t>
    </r>
  </si>
  <si>
    <t xml:space="preserve">The turbidity values were relatively consistent among samples during the test.  The average turbidity was 459 NTU which was </t>
  </si>
  <si>
    <t xml:space="preserve">The average COD concentration was 3560 mg/L. </t>
  </si>
  <si>
    <t xml:space="preserve">The turbidity values were relatively consistent among samples during the test.  The average turbidity was 470 NTU which was </t>
  </si>
  <si>
    <r>
      <t xml:space="preserve">Complete inactivation </t>
    </r>
    <r>
      <rPr>
        <i/>
        <sz val="10"/>
        <color theme="1"/>
        <rFont val="Arial"/>
        <family val="2"/>
      </rPr>
      <t xml:space="preserve">B. globigii </t>
    </r>
    <r>
      <rPr>
        <sz val="10"/>
        <color theme="1"/>
        <rFont val="Arial"/>
        <family val="2"/>
      </rPr>
      <t>was achieved at 15 minutes of contact time in this test.  The LI value at 15 minutes</t>
    </r>
  </si>
  <si>
    <t xml:space="preserve">at 10 minutes of contact time (LI &gt; 8.9, CT=22429). </t>
  </si>
  <si>
    <t xml:space="preserve">The average COD concentration was 3575 mg/L. </t>
  </si>
  <si>
    <t xml:space="preserve">The turbidity values relatively consistent among samples during the test.  The average turbidity was 492 NTU which was </t>
  </si>
  <si>
    <t xml:space="preserve">The average COD concentration was 3240 mg/L. </t>
  </si>
  <si>
    <t xml:space="preserve">The turbidity values relatively consistent among samples during the test.  The average turbidity was 471 NTU which was </t>
  </si>
  <si>
    <t>contact time was &gt; 8.0, and the associated CT value was 11071 mg.min/L.</t>
  </si>
  <si>
    <t>contact time was &gt;8.65, and the associated CT value was 10714 mg.min/L.</t>
  </si>
  <si>
    <t>at 5 minutes of contact time (LI&gt;7.95, CT=10714).</t>
  </si>
  <si>
    <t xml:space="preserve">The corresponding CT and LI values were &gt; 24000 mg.min/mL and &gt; 6.99, respectively.  </t>
  </si>
  <si>
    <t xml:space="preserve">in two plates that resulted 200 /100 mL. It is possible that both T10 and T15 data are correct, but taking T30 data for </t>
  </si>
  <si>
    <t>at 5 minutes of contact time (LI &gt; 8.9, CT = 11071).</t>
  </si>
  <si>
    <r>
      <t xml:space="preserve">contact time was &gt;7.30, and the associated CT value was  146000 mg.min/L. The rate of inactivation of </t>
    </r>
    <r>
      <rPr>
        <i/>
        <sz val="10"/>
        <color indexed="8"/>
        <rFont val="Arial"/>
        <family val="2"/>
      </rPr>
      <t xml:space="preserve">B. globigii </t>
    </r>
    <r>
      <rPr>
        <sz val="10"/>
        <color indexed="8"/>
        <rFont val="Arial"/>
        <family val="2"/>
      </rPr>
      <t xml:space="preserve">is similar to that </t>
    </r>
  </si>
  <si>
    <t>observed in Test 12 conducted with same WW and identical conditions.  With this test, total inactivation is questionable at T15.</t>
  </si>
  <si>
    <t xml:space="preserve">Conservatively, complete inactivation was seen at 60 minutes.  </t>
  </si>
  <si>
    <t>observed in Test 12 conducted with same WW and identical conditions.  With this test, total inactivation is questionable at T10.</t>
  </si>
  <si>
    <r>
      <t xml:space="preserve">contact time was &gt; 7.9, and the associated CT value was 137143 mg.min/L. The rate of inactivation of </t>
    </r>
    <r>
      <rPr>
        <i/>
        <sz val="10"/>
        <color indexed="8"/>
        <rFont val="Arial"/>
        <family val="2"/>
      </rPr>
      <t xml:space="preserve">B. globigii </t>
    </r>
    <r>
      <rPr>
        <sz val="10"/>
        <color indexed="8"/>
        <rFont val="Arial"/>
        <family val="2"/>
      </rPr>
      <t xml:space="preserve">is similar to that </t>
    </r>
  </si>
  <si>
    <r>
      <t xml:space="preserve">contact time was &gt;7.9, and the associated CT value was  33643 mg.min/L. The rate of inactivation of </t>
    </r>
    <r>
      <rPr>
        <i/>
        <sz val="10"/>
        <color indexed="8"/>
        <rFont val="Arial"/>
        <family val="2"/>
      </rPr>
      <t xml:space="preserve">B. globigii </t>
    </r>
    <r>
      <rPr>
        <sz val="10"/>
        <color indexed="8"/>
        <rFont val="Arial"/>
        <family val="2"/>
      </rPr>
      <t xml:space="preserve">is similar to that </t>
    </r>
  </si>
  <si>
    <t xml:space="preserve">observed in Test 12 conducted with same WW and identical conditions.  </t>
  </si>
  <si>
    <t>The inactivation time was similar to Test 1.</t>
  </si>
  <si>
    <t>The inactivation time was slightly faster than Test 1.</t>
  </si>
  <si>
    <t>(100 mL with 9.70 mL of 18% anhydrous sodium thiosulfate).</t>
  </si>
  <si>
    <t>TNTC</t>
  </si>
  <si>
    <t>&gt; 7.4</t>
  </si>
  <si>
    <t>&gt; 7.32</t>
  </si>
  <si>
    <t>&gt; 7.6</t>
  </si>
  <si>
    <t>(same as 3c, as per QAPP)</t>
  </si>
  <si>
    <t>Washwater from floor using MHRW with 1% Alconox @20C</t>
  </si>
  <si>
    <t>(same as 3a, as per QAPP)</t>
  </si>
  <si>
    <t>Washwater from floor using MHRW with 1% Alconox @ 20C</t>
  </si>
  <si>
    <t>(same as 3b, as per QAPP)</t>
  </si>
  <si>
    <t>(12c as per QAPP)</t>
  </si>
  <si>
    <t>(12b as per QAPP)</t>
  </si>
  <si>
    <t>(12a as per QAPP)</t>
  </si>
  <si>
    <t>(1c as per QAPP)</t>
  </si>
  <si>
    <t>(1b as per QAPP)</t>
  </si>
  <si>
    <t>(7a as per QAPP)</t>
  </si>
  <si>
    <t>(7b as per QAPP)</t>
  </si>
  <si>
    <t>(7c as per QAPP)</t>
  </si>
  <si>
    <t>(14a as per QAPP)</t>
  </si>
  <si>
    <t>(14b as per QAPP)</t>
  </si>
  <si>
    <t>(14c as per QAPP)</t>
  </si>
  <si>
    <t>(18a as per QAPP)</t>
  </si>
  <si>
    <t>(18b as per QAPP)</t>
  </si>
  <si>
    <t>(18c as per QAPP)</t>
  </si>
  <si>
    <t>(22a as per QAPP)</t>
  </si>
  <si>
    <t>(22b as per QAPP)</t>
  </si>
  <si>
    <t>(22c as per QAPP)</t>
  </si>
  <si>
    <t>(11a as per QAPP)</t>
  </si>
  <si>
    <t>(11b as per QAPP)</t>
  </si>
  <si>
    <t>(11c as per QAPP)</t>
  </si>
  <si>
    <t>(21a as per QAPP)</t>
  </si>
  <si>
    <t>(21b as per QAPP)</t>
  </si>
  <si>
    <t>(21 c as per QAPP)</t>
  </si>
  <si>
    <t>(10a as per QAPP)</t>
  </si>
  <si>
    <t>(10b as per QAPP)</t>
  </si>
  <si>
    <t>(10c as per QAPP)</t>
  </si>
  <si>
    <t>(1a as per QAPP)</t>
  </si>
  <si>
    <t>PPP in Cincinnati Tap Water with 1% Alconox</t>
  </si>
  <si>
    <t>60D</t>
  </si>
  <si>
    <t>&gt;7.14</t>
  </si>
  <si>
    <t>&gt;7.4</t>
  </si>
  <si>
    <t>16a</t>
  </si>
  <si>
    <t>16b</t>
  </si>
  <si>
    <t>30D</t>
  </si>
  <si>
    <t>&gt; 7.3</t>
  </si>
  <si>
    <t>This is possibly due to the fact that more WW was prepared for this test and the results here are slightly different due to less organic/</t>
  </si>
  <si>
    <t>inorganic material in the matrix.</t>
  </si>
  <si>
    <t xml:space="preserve">The inactivation of B.g. and HPC are similar to test 16a, however, the turbidity, pH &amp; COD of this test was lower than 16a. </t>
  </si>
  <si>
    <t>Test 16a may need to be repeated to get consistent results.  All other parameters are similar.</t>
  </si>
  <si>
    <t>30 D</t>
  </si>
  <si>
    <t>NA</t>
  </si>
  <si>
    <t>#5 - PPE in Tap + 1% Alc</t>
  </si>
  <si>
    <t>16cR</t>
  </si>
  <si>
    <t>&gt; 7.45</t>
  </si>
  <si>
    <t>&gt; 6.8</t>
  </si>
  <si>
    <t>5a</t>
  </si>
  <si>
    <r>
      <t xml:space="preserve">2000 mL Washwater; Temperature:20 </t>
    </r>
    <r>
      <rPr>
        <vertAlign val="superscript"/>
        <sz val="10"/>
        <rFont val="Calibri"/>
        <family val="2"/>
      </rPr>
      <t>°</t>
    </r>
    <r>
      <rPr>
        <sz val="10"/>
        <rFont val="Arial"/>
        <family val="2"/>
      </rPr>
      <t>C</t>
    </r>
  </si>
  <si>
    <t>60 D</t>
  </si>
  <si>
    <t>&gt;7.48</t>
  </si>
  <si>
    <t>&gt; 6.20</t>
  </si>
  <si>
    <t>5b</t>
  </si>
  <si>
    <t>&gt;7.8</t>
  </si>
  <si>
    <t>&gt;7.56</t>
  </si>
  <si>
    <t>5c</t>
  </si>
  <si>
    <t>&gt; 6.61</t>
  </si>
  <si>
    <t>&gt; 7.38</t>
  </si>
  <si>
    <t>9a</t>
  </si>
  <si>
    <t>&gt; 8.14</t>
  </si>
  <si>
    <t>9b</t>
  </si>
  <si>
    <t>&gt; 7.46</t>
  </si>
  <si>
    <t>PPE in Cincinnati Tap Water with 1% Alconox</t>
  </si>
  <si>
    <t>Stormwater from T&amp;E parking lot</t>
  </si>
  <si>
    <t>9c</t>
  </si>
  <si>
    <t>&gt; 7.61</t>
  </si>
  <si>
    <t>&gt; 7.79</t>
  </si>
  <si>
    <t>Both inactivations were similar to test 9a, Bg inactivations similar to test 9a and 9b.</t>
  </si>
  <si>
    <t>All other parameters similar to both previous tests as well.</t>
  </si>
  <si>
    <t>WQ parameters similar to test 9a.</t>
  </si>
  <si>
    <t>Inactivation of Bg at 60 minutes (&gt; 7.6) and HPC at 30 minutes (&gt; 8.14)</t>
  </si>
  <si>
    <t>Bg inactivation at 60 minutes (&gt;7.46), but HPC did not meet 6 log inactivation criteria.</t>
  </si>
  <si>
    <t xml:space="preserve">COD analysis was similar to tests 9a &amp; 9b.  </t>
  </si>
  <si>
    <t>Time zero COD was similar to test 9a.</t>
  </si>
  <si>
    <t>#9 - Storm Water</t>
  </si>
  <si>
    <t>20a</t>
  </si>
  <si>
    <t xml:space="preserve">240D </t>
  </si>
  <si>
    <t>&gt; 7.48</t>
  </si>
  <si>
    <t>&gt; 8.01</t>
  </si>
  <si>
    <t>T0 and T5 COD analysis were similar to tests 9a &amp; 9b.  T240 COD weren't done on the 20C test, but the</t>
  </si>
  <si>
    <t>All other parameters similar to both previous tests (9a-9c) as well.</t>
  </si>
  <si>
    <t>20b</t>
  </si>
  <si>
    <t>20c</t>
  </si>
  <si>
    <t>180D</t>
  </si>
  <si>
    <t>&gt;7.45</t>
  </si>
  <si>
    <t>&gt;8.41</t>
  </si>
  <si>
    <t>&gt; 7.84</t>
  </si>
  <si>
    <t>Sample pH was analyzed the day after the test was run.  These values were about 1 pH unit lower than the other 2 tests (20b &amp;c).</t>
  </si>
  <si>
    <t>T60 CODs were all lower than the T0 and T5 CODs.  The trend here is similar, but quite a bit lower.</t>
  </si>
  <si>
    <t>Alkalinity for this test was a little lower than the other 2 tests, too.</t>
  </si>
  <si>
    <t>Free Chlorine was a little higher in this test than for 20a.  Calculations were checked and found to be ok.</t>
  </si>
  <si>
    <t>CODs for this test were similar to 20a except that T5 was lower than expected.</t>
  </si>
  <si>
    <t>Inactivations were similar to test 20a.</t>
  </si>
  <si>
    <t>Inactivations were similar to tests 20a and 20b.</t>
  </si>
  <si>
    <t>TSS was higher than for 20a.  It's possible that 20a wasn't mixed well enough before sampling.</t>
  </si>
  <si>
    <t>TSS was higher than for 20a, but similar to 20b.  It's possible that 20a wasn't mixed well enough before sampling.</t>
  </si>
  <si>
    <t xml:space="preserve">Sample pH was run the same day as sampling.  </t>
  </si>
  <si>
    <t>9aR</t>
  </si>
  <si>
    <t xml:space="preserve">The time zero COD was significantly higher than the rest - similar to first 9a test.  </t>
  </si>
  <si>
    <t>Inactivation of Bg at 6 log was not attained and HPC, inconsistently at 60 minutes (&gt; 7.79 , 4.79)</t>
  </si>
  <si>
    <t>Rerun test and run test for 120 min.</t>
  </si>
  <si>
    <t xml:space="preserve">The time zero COD was significantly higher than the rest. </t>
  </si>
  <si>
    <t>This is the first of the stormwater samples.  COD samples analyzed at 1:10 dilution the first time without good results.</t>
  </si>
  <si>
    <t xml:space="preserve">The second time, COD samples were analyzed without dilution, and they were all over the board.  </t>
  </si>
  <si>
    <t>Third COD analysis and the RPDs were &gt; 20%, but there is not more sample to run a fourth time.</t>
  </si>
  <si>
    <t xml:space="preserve">This is the 2nd of the stormwater samples, run on the same day in the afternoon as #9a.  </t>
  </si>
  <si>
    <t>Same issue with COD as #9a</t>
  </si>
  <si>
    <t>Third COD run gave better results.  RPDs = 8.0, much better than 9a results.</t>
  </si>
  <si>
    <t>TNTC - too numerous to count; higher dilution needed.</t>
  </si>
  <si>
    <t>27aR</t>
  </si>
  <si>
    <t>Cincy tap Floor wash with 1% Alconox + 19 mg/L motor oil</t>
  </si>
  <si>
    <r>
      <t xml:space="preserve">2000mL Cincy tap Floor wash with 1% Alconox + 45 </t>
    </r>
    <r>
      <rPr>
        <sz val="10"/>
        <rFont val="Calibri"/>
        <family val="2"/>
      </rPr>
      <t>µ</t>
    </r>
    <r>
      <rPr>
        <sz val="10"/>
        <rFont val="Arial"/>
        <family val="2"/>
      </rPr>
      <t>L motor oil</t>
    </r>
  </si>
  <si>
    <t>99mL bleach (5% after collecting 100 mL T0 sample)</t>
  </si>
  <si>
    <t>&gt; 7.47</t>
  </si>
  <si>
    <t>Free Chlorine sample and T0 WW numbers are higher than expected due to color and soap  bubbles.</t>
  </si>
  <si>
    <t>Again we find that motor oil does not appear to coat the organisms, and does not cause a reduction in log removal.</t>
  </si>
  <si>
    <t>27bR</t>
  </si>
  <si>
    <r>
      <t>1.0 mL of 1.3 × 10</t>
    </r>
    <r>
      <rPr>
        <vertAlign val="superscript"/>
        <sz val="10"/>
        <rFont val="Arial"/>
        <family val="2"/>
      </rPr>
      <t>9</t>
    </r>
    <r>
      <rPr>
        <sz val="10"/>
        <rFont val="Arial"/>
        <family val="2"/>
      </rPr>
      <t xml:space="preserve"> </t>
    </r>
    <r>
      <rPr>
        <i/>
        <sz val="10"/>
        <rFont val="Arial"/>
        <family val="2"/>
      </rPr>
      <t>B. globigii</t>
    </r>
    <r>
      <rPr>
        <sz val="10"/>
        <rFont val="Arial"/>
        <family val="2"/>
      </rPr>
      <t xml:space="preserve"> (~ 10</t>
    </r>
    <r>
      <rPr>
        <vertAlign val="superscript"/>
        <sz val="10"/>
        <rFont val="Arial"/>
        <family val="2"/>
      </rPr>
      <t>7</t>
    </r>
    <r>
      <rPr>
        <sz val="10"/>
        <rFont val="Arial"/>
        <family val="2"/>
      </rPr>
      <t>/100 mL)</t>
    </r>
  </si>
  <si>
    <t>&gt; 7.57</t>
  </si>
  <si>
    <t>Motor oil does not appear to coat the organisms, and does not cause a reduction in log removal.</t>
  </si>
  <si>
    <t>27c</t>
  </si>
  <si>
    <t>&gt; 7.41</t>
  </si>
  <si>
    <t>28a</t>
  </si>
  <si>
    <t>&gt; 7.35</t>
  </si>
  <si>
    <t>28c</t>
  </si>
  <si>
    <t>28b</t>
  </si>
  <si>
    <t>&gt; 7.56</t>
  </si>
  <si>
    <t>I don't have an explanation for the pH discrepancy, but instead of doing them two days after the test run,</t>
  </si>
  <si>
    <t>they will be done the same day from now on.  All the sample pHs are therefore flagged.</t>
  </si>
  <si>
    <t>35 (Bench)</t>
  </si>
  <si>
    <t>36 (Bench)</t>
  </si>
  <si>
    <t>WW 13</t>
  </si>
  <si>
    <t>WW13:  Oily wastewater</t>
  </si>
  <si>
    <t>Sample pHs were analyzed on 8/21/13 at 4C.</t>
  </si>
  <si>
    <t>Sample pHs were analyzed on 8/28/13 at 4C.</t>
  </si>
  <si>
    <t>compared to 20C tests.</t>
  </si>
  <si>
    <t>Sample pHs were analyzed on 9/5/13 at 4C.</t>
  </si>
  <si>
    <t>Inactivation occurred at 30 minutes instead of 10 minutes for Bg and 15 minutes instead of 10 minutes for HPC</t>
  </si>
  <si>
    <t>Inactivation occurred at 30 minutes instead of 10 minutes for Bg and 10 minutes for HPC</t>
  </si>
  <si>
    <t>Sample pHs were analyzed on 9/11/13 at 4C.</t>
  </si>
  <si>
    <t>Sample pH is different for this experiment.  In the other experiments, sample pH was around 10.</t>
  </si>
  <si>
    <t>(21d as per QAPP)</t>
  </si>
  <si>
    <t>112 mL Bleach (5% after collecting 100 mL T0 sample)</t>
  </si>
  <si>
    <r>
      <t>B. globigii</t>
    </r>
    <r>
      <rPr>
        <b/>
        <sz val="10"/>
        <rFont val="Arial"/>
        <family val="2"/>
      </rPr>
      <t xml:space="preserve"> Conc./100mL</t>
    </r>
  </si>
  <si>
    <t>HPC Conc./ 100mL</t>
  </si>
  <si>
    <t>&gt;8.0</t>
  </si>
  <si>
    <t>&gt;7.3</t>
  </si>
  <si>
    <t>240 Dup</t>
  </si>
  <si>
    <t>(21e as per QAPP)</t>
  </si>
  <si>
    <t>&gt;8.5</t>
  </si>
  <si>
    <t>&gt;7.6</t>
  </si>
  <si>
    <t>(21f as per QAPP)</t>
  </si>
  <si>
    <t>&gt;8.6</t>
  </si>
  <si>
    <r>
      <t xml:space="preserve">Temperature of the water varied between 4.7 and 3.7 </t>
    </r>
    <r>
      <rPr>
        <vertAlign val="superscript"/>
        <sz val="10"/>
        <color theme="1"/>
        <rFont val="Arial"/>
        <family val="2"/>
      </rPr>
      <t>0</t>
    </r>
    <r>
      <rPr>
        <sz val="10"/>
        <color theme="1"/>
        <rFont val="Arial"/>
        <family val="2"/>
      </rPr>
      <t>C.</t>
    </r>
  </si>
  <si>
    <r>
      <t xml:space="preserve">Temperature of the water varied between 3.4 and 4.8 </t>
    </r>
    <r>
      <rPr>
        <vertAlign val="superscript"/>
        <sz val="10"/>
        <color theme="1"/>
        <rFont val="Arial"/>
        <family val="2"/>
      </rPr>
      <t>0</t>
    </r>
    <r>
      <rPr>
        <sz val="10"/>
        <color theme="1"/>
        <rFont val="Arial"/>
        <family val="2"/>
      </rPr>
      <t>C.</t>
    </r>
  </si>
  <si>
    <r>
      <t xml:space="preserve">Temperature of the water varied between 3.2 and 4.7 </t>
    </r>
    <r>
      <rPr>
        <vertAlign val="superscript"/>
        <sz val="10"/>
        <color theme="1"/>
        <rFont val="Arial"/>
        <family val="2"/>
      </rPr>
      <t>0</t>
    </r>
    <r>
      <rPr>
        <sz val="10"/>
        <color theme="1"/>
        <rFont val="Arial"/>
        <family val="2"/>
      </rPr>
      <t>C.</t>
    </r>
  </si>
  <si>
    <t>Test shows complete BG inactivatation after 120 minutes, but more BG evident after 240 minutes.</t>
  </si>
  <si>
    <t>Test shows complete HPC inactivatation after 60 minutes, but more BG evident after 120 and 240 minutes.</t>
  </si>
  <si>
    <t>Compared to 21d, initial wastewater pH was lower (6.76 to 8.33).</t>
  </si>
  <si>
    <t>Test shows complete BG inactivatation after 60 minutes.</t>
  </si>
  <si>
    <t>Test shows complete HPC inactivatation after 10 minutes.</t>
  </si>
  <si>
    <t>Compared to 21d, initial wastewater pH was lower (6.67 to 8.33).</t>
  </si>
  <si>
    <t>Test shows complete BG inactivatation after 15 minutes.</t>
  </si>
  <si>
    <t>(21g as per QAPP)</t>
  </si>
  <si>
    <t>&gt;8.7</t>
  </si>
  <si>
    <t>&gt;7.5</t>
  </si>
  <si>
    <t>Tests 21d - 21g were completed approximately 1.5 years after 21a - 21c with a new batch of wastewater.</t>
  </si>
  <si>
    <t>Compared to 21d, initial wastewater pH was lower (6.4 to 8.33).</t>
  </si>
  <si>
    <t>90 mL Bleach (5% after collecting 200 mL T0 sample)</t>
  </si>
  <si>
    <t>HPC, solids, and alkalinity were not tested.</t>
  </si>
  <si>
    <r>
      <t>After adding bleach,adjust to pH 8.0 using 10% KH</t>
    </r>
    <r>
      <rPr>
        <vertAlign val="subscript"/>
        <sz val="10"/>
        <rFont val="Arial"/>
        <family val="2"/>
      </rPr>
      <t>2</t>
    </r>
    <r>
      <rPr>
        <sz val="10"/>
        <rFont val="Arial"/>
        <family val="2"/>
      </rPr>
      <t>PO</t>
    </r>
    <r>
      <rPr>
        <vertAlign val="subscript"/>
        <sz val="10"/>
        <rFont val="Arial"/>
        <family val="2"/>
      </rPr>
      <t>4</t>
    </r>
  </si>
  <si>
    <r>
      <t xml:space="preserve">1900 mL Washwater; Temperature: 20 </t>
    </r>
    <r>
      <rPr>
        <vertAlign val="superscript"/>
        <sz val="10"/>
        <rFont val="Arial"/>
        <family val="2"/>
      </rPr>
      <t>0</t>
    </r>
    <r>
      <rPr>
        <sz val="10"/>
        <rFont val="Arial"/>
        <family val="2"/>
      </rPr>
      <t>C</t>
    </r>
  </si>
  <si>
    <t>&gt;7.7</t>
  </si>
  <si>
    <r>
      <t xml:space="preserve">Temperature of the water varied between 19 and 21 </t>
    </r>
    <r>
      <rPr>
        <vertAlign val="superscript"/>
        <sz val="10"/>
        <color theme="1"/>
        <rFont val="Arial"/>
        <family val="2"/>
      </rPr>
      <t>0</t>
    </r>
    <r>
      <rPr>
        <sz val="10"/>
        <color theme="1"/>
        <rFont val="Arial"/>
        <family val="2"/>
      </rPr>
      <t>C.</t>
    </r>
  </si>
  <si>
    <t>The pH of the wastewater was not adjusted in this test.</t>
  </si>
  <si>
    <t>The pH of the wastewater in this test was adjusted to 8.0 using potassium phosphate.</t>
  </si>
  <si>
    <t>This test added the sample time of 3 minutes based on previous tests.</t>
  </si>
  <si>
    <t>(10f as per QAPP)</t>
  </si>
  <si>
    <r>
      <t xml:space="preserve">1600 mL Washwater; Temperature: 20 </t>
    </r>
    <r>
      <rPr>
        <vertAlign val="superscript"/>
        <sz val="10"/>
        <rFont val="Arial"/>
        <family val="2"/>
      </rPr>
      <t>0</t>
    </r>
    <r>
      <rPr>
        <sz val="10"/>
        <rFont val="Arial"/>
        <family val="2"/>
      </rPr>
      <t>C</t>
    </r>
  </si>
  <si>
    <t>50.4mL concentrated Bleach (3.6% after collecting 200mL T0 sample)</t>
  </si>
  <si>
    <t>No pH adjustment.</t>
  </si>
  <si>
    <t>(10d as per QAPP)</t>
  </si>
  <si>
    <t>(10e as per QAPP)</t>
  </si>
  <si>
    <t>(10eR as per QAPP)</t>
  </si>
  <si>
    <t>(10L as per QAPP)</t>
  </si>
  <si>
    <r>
      <t>After adding bleach,adjust to pH 7 using 10% KH</t>
    </r>
    <r>
      <rPr>
        <vertAlign val="subscript"/>
        <sz val="10"/>
        <rFont val="Arial"/>
        <family val="2"/>
      </rPr>
      <t>2</t>
    </r>
    <r>
      <rPr>
        <sz val="10"/>
        <rFont val="Arial"/>
        <family val="2"/>
      </rPr>
      <t>PO</t>
    </r>
    <r>
      <rPr>
        <vertAlign val="subscript"/>
        <sz val="10"/>
        <rFont val="Arial"/>
        <family val="2"/>
      </rPr>
      <t>4</t>
    </r>
    <r>
      <rPr>
        <sz val="10"/>
        <rFont val="Arial"/>
        <family val="2"/>
      </rPr>
      <t xml:space="preserve"> (~90.0mL)</t>
    </r>
  </si>
  <si>
    <t>(100 mL with 9.70 mL of 18% sodium thiosulfate pentahydrate).</t>
  </si>
  <si>
    <t>(10m as per QAPP)</t>
  </si>
  <si>
    <r>
      <t>After adding bleach,adjust to pH 8 using 10% KH</t>
    </r>
    <r>
      <rPr>
        <vertAlign val="subscript"/>
        <sz val="10"/>
        <rFont val="Arial"/>
        <family val="2"/>
      </rPr>
      <t>2</t>
    </r>
    <r>
      <rPr>
        <sz val="10"/>
        <rFont val="Arial"/>
        <family val="2"/>
      </rPr>
      <t>PO</t>
    </r>
    <r>
      <rPr>
        <vertAlign val="subscript"/>
        <sz val="10"/>
        <rFont val="Arial"/>
        <family val="2"/>
      </rPr>
      <t>4</t>
    </r>
    <r>
      <rPr>
        <sz val="10"/>
        <rFont val="Arial"/>
        <family val="2"/>
      </rPr>
      <t xml:space="preserve"> (~15mL)</t>
    </r>
  </si>
  <si>
    <t>(100 mL with 9.70 mL of 11% sodium thiosulfate pentahydrate).</t>
  </si>
  <si>
    <t>(10n as per QAPP)</t>
  </si>
  <si>
    <t xml:space="preserve">Nearing bottom of the bucket.  A large number of pine needles were observed in the </t>
  </si>
  <si>
    <t>wash water used for this test.</t>
  </si>
  <si>
    <t>(21h as per QAPP)</t>
  </si>
  <si>
    <r>
      <t>5.4 × 10</t>
    </r>
    <r>
      <rPr>
        <vertAlign val="superscript"/>
        <sz val="10"/>
        <rFont val="Arial"/>
        <family val="2"/>
      </rPr>
      <t>8</t>
    </r>
    <r>
      <rPr>
        <sz val="10"/>
        <rFont val="Arial"/>
        <family val="2"/>
      </rPr>
      <t xml:space="preserve"> </t>
    </r>
    <r>
      <rPr>
        <i/>
        <sz val="10"/>
        <rFont val="Arial"/>
        <family val="2"/>
      </rPr>
      <t>B. globigii</t>
    </r>
    <r>
      <rPr>
        <sz val="10"/>
        <rFont val="Arial"/>
        <family val="2"/>
      </rPr>
      <t xml:space="preserve"> (~ 10</t>
    </r>
    <r>
      <rPr>
        <vertAlign val="superscript"/>
        <sz val="10"/>
        <rFont val="Arial"/>
        <family val="2"/>
      </rPr>
      <t>7</t>
    </r>
    <r>
      <rPr>
        <sz val="10"/>
        <rFont val="Arial"/>
        <family val="2"/>
      </rPr>
      <t>/100 mL)</t>
    </r>
  </si>
  <si>
    <t>65mL concentrated Bleach (3.6% after collecting 200 mL T0 samples)</t>
  </si>
  <si>
    <t>(21i as per QAPP)</t>
  </si>
  <si>
    <r>
      <t>After adding bleach,adjust to pH 8 using 10% KH</t>
    </r>
    <r>
      <rPr>
        <vertAlign val="subscript"/>
        <sz val="10"/>
        <rFont val="Arial"/>
        <family val="2"/>
      </rPr>
      <t>2</t>
    </r>
    <r>
      <rPr>
        <sz val="10"/>
        <rFont val="Arial"/>
        <family val="2"/>
      </rPr>
      <t>PO</t>
    </r>
    <r>
      <rPr>
        <vertAlign val="subscript"/>
        <sz val="10"/>
        <rFont val="Arial"/>
        <family val="2"/>
      </rPr>
      <t>4</t>
    </r>
    <r>
      <rPr>
        <sz val="10"/>
        <rFont val="Arial"/>
        <family val="2"/>
      </rPr>
      <t xml:space="preserve"> (~25mL)</t>
    </r>
  </si>
  <si>
    <t>&gt;7.9</t>
  </si>
  <si>
    <t>(21j as per QAPP)</t>
  </si>
  <si>
    <t>(21k as per QAPP)</t>
  </si>
  <si>
    <r>
      <t>After adding bleach,adjust to pH 7 using 10% KH</t>
    </r>
    <r>
      <rPr>
        <vertAlign val="subscript"/>
        <sz val="10"/>
        <rFont val="Arial"/>
        <family val="2"/>
      </rPr>
      <t>2</t>
    </r>
    <r>
      <rPr>
        <sz val="10"/>
        <rFont val="Arial"/>
        <family val="2"/>
      </rPr>
      <t>PO</t>
    </r>
    <r>
      <rPr>
        <vertAlign val="subscript"/>
        <sz val="10"/>
        <rFont val="Arial"/>
        <family val="2"/>
      </rPr>
      <t>4</t>
    </r>
    <r>
      <rPr>
        <sz val="10"/>
        <rFont val="Arial"/>
        <family val="2"/>
      </rPr>
      <t xml:space="preserve"> (~125mL)</t>
    </r>
  </si>
  <si>
    <t>(21l as per QAPP)</t>
  </si>
  <si>
    <t>(21m as per QAPP)</t>
  </si>
  <si>
    <r>
      <t>After adding bleach,adjust to pH 8 using 10% KH</t>
    </r>
    <r>
      <rPr>
        <vertAlign val="subscript"/>
        <sz val="10"/>
        <rFont val="Arial"/>
        <family val="2"/>
      </rPr>
      <t>2</t>
    </r>
    <r>
      <rPr>
        <sz val="10"/>
        <rFont val="Arial"/>
        <family val="2"/>
      </rPr>
      <t>PO</t>
    </r>
    <r>
      <rPr>
        <vertAlign val="subscript"/>
        <sz val="10"/>
        <rFont val="Arial"/>
        <family val="2"/>
      </rPr>
      <t>4</t>
    </r>
    <r>
      <rPr>
        <sz val="10"/>
        <rFont val="Arial"/>
        <family val="2"/>
      </rPr>
      <t xml:space="preserve"> (~30mL)</t>
    </r>
  </si>
  <si>
    <r>
      <t>1.0 × 10</t>
    </r>
    <r>
      <rPr>
        <vertAlign val="superscript"/>
        <sz val="10"/>
        <rFont val="Arial"/>
        <family val="2"/>
      </rPr>
      <t>9</t>
    </r>
    <r>
      <rPr>
        <sz val="10"/>
        <rFont val="Arial"/>
        <family val="2"/>
      </rPr>
      <t xml:space="preserve"> </t>
    </r>
    <r>
      <rPr>
        <i/>
        <sz val="10"/>
        <rFont val="Arial"/>
        <family val="2"/>
      </rPr>
      <t>B. globigii</t>
    </r>
    <r>
      <rPr>
        <sz val="10"/>
        <rFont val="Arial"/>
        <family val="2"/>
      </rPr>
      <t xml:space="preserve"> (~ 10</t>
    </r>
    <r>
      <rPr>
        <vertAlign val="superscript"/>
        <sz val="10"/>
        <rFont val="Arial"/>
        <family val="2"/>
      </rPr>
      <t>7</t>
    </r>
    <r>
      <rPr>
        <sz val="10"/>
        <rFont val="Arial"/>
        <family val="2"/>
      </rPr>
      <t>/100 mL)</t>
    </r>
  </si>
  <si>
    <t>(21o as per QAPP)</t>
  </si>
  <si>
    <t>(21p as per QAPP)</t>
  </si>
  <si>
    <t>(21q as per QAPP)</t>
  </si>
  <si>
    <r>
      <t>After adding bleach,adjust to pH 7 using 10% KH</t>
    </r>
    <r>
      <rPr>
        <vertAlign val="subscript"/>
        <sz val="10"/>
        <rFont val="Arial"/>
        <family val="2"/>
      </rPr>
      <t>2</t>
    </r>
    <r>
      <rPr>
        <sz val="10"/>
        <rFont val="Arial"/>
        <family val="2"/>
      </rPr>
      <t>PO</t>
    </r>
    <r>
      <rPr>
        <vertAlign val="subscript"/>
        <sz val="10"/>
        <rFont val="Arial"/>
        <family val="2"/>
      </rPr>
      <t>4</t>
    </r>
    <r>
      <rPr>
        <sz val="10"/>
        <rFont val="Arial"/>
        <family val="2"/>
      </rPr>
      <t xml:space="preserve"> (~130mL)</t>
    </r>
  </si>
  <si>
    <t xml:space="preserve">  </t>
  </si>
  <si>
    <t>Ct</t>
  </si>
  <si>
    <t>hypochlorite concentration</t>
  </si>
  <si>
    <t>Temp. (°C)</t>
  </si>
  <si>
    <t>Ct for 6 log kill</t>
  </si>
  <si>
    <t>Not calculatable</t>
  </si>
  <si>
    <t>mg/ml</t>
  </si>
  <si>
    <t>mg/L</t>
  </si>
  <si>
    <t>Volume in reaction vessel</t>
  </si>
  <si>
    <t>mg/L NaOCL</t>
  </si>
  <si>
    <t>mg NaOCl</t>
  </si>
  <si>
    <t>vol. ml</t>
  </si>
  <si>
    <t>time for 6 log kill</t>
  </si>
  <si>
    <t>Ct for a 6 log kill</t>
  </si>
  <si>
    <t>need to correct?</t>
  </si>
  <si>
    <t>`</t>
  </si>
  <si>
    <t>may need to correct</t>
  </si>
  <si>
    <t>mL concentrated Bleach (3.6% after collecting 200 mL T0 samples)</t>
  </si>
  <si>
    <t xml:space="preserve"> mL Washwater; Temperature: 4 °C</t>
  </si>
  <si>
    <t>volume of T0 sample</t>
  </si>
  <si>
    <t>% NaOCl in bleach</t>
  </si>
  <si>
    <t>volume of potassium biphosphate used</t>
  </si>
  <si>
    <t>time for 6 log kill in 3,000 ppm Cl2 (minutes)</t>
  </si>
  <si>
    <t>concentration of NaOCl in reaction vessel</t>
  </si>
  <si>
    <t>mL Bleach (5% after collecting 100 mL T0 sample)</t>
  </si>
  <si>
    <t>Something happened between 21f and 21g.  Cl numbers started jumping all over the place starting with 21g.</t>
  </si>
  <si>
    <t>Temperature of the water varied between 3.7 and 4.5 °C.</t>
  </si>
  <si>
    <t xml:space="preserve"> mL Washwater; Temperature: 4 0C</t>
  </si>
  <si>
    <t>No pH adjustment</t>
  </si>
  <si>
    <t xml:space="preserve"> B. globigii (~ 107/100 mL)</t>
  </si>
  <si>
    <t xml:space="preserve"> mL Bleach (5% after collecting 100 mL T0 sample)</t>
  </si>
  <si>
    <t>B. globigii (~ 107/100 mL)</t>
  </si>
  <si>
    <r>
      <t xml:space="preserve"> B. globigii (~ 10</t>
    </r>
    <r>
      <rPr>
        <vertAlign val="superscript"/>
        <sz val="10"/>
        <rFont val="Arial"/>
        <family val="2"/>
      </rPr>
      <t>7</t>
    </r>
    <r>
      <rPr>
        <sz val="10"/>
        <rFont val="Arial"/>
        <family val="2"/>
      </rPr>
      <t>/100 mL)</t>
    </r>
  </si>
  <si>
    <t xml:space="preserve"> mL Washwater; Temperature: 20 °C</t>
  </si>
  <si>
    <t>no pH adjustment</t>
  </si>
  <si>
    <t xml:space="preserve"> mL Bleach (5% after collecting 200 mL T0 sample)</t>
  </si>
  <si>
    <t>Temperature of the water varied between 19 and 21 °C.</t>
  </si>
  <si>
    <r>
      <t>After adding bleach,adjust to pH 8.0 using 10% KH</t>
    </r>
    <r>
      <rPr>
        <vertAlign val="subscript"/>
        <sz val="10"/>
        <rFont val="Arial"/>
        <family val="2"/>
      </rPr>
      <t>2</t>
    </r>
    <r>
      <rPr>
        <sz val="10"/>
        <rFont val="Arial"/>
        <family val="2"/>
      </rPr>
      <t>PO</t>
    </r>
    <r>
      <rPr>
        <vertAlign val="subscript"/>
        <sz val="10"/>
        <rFont val="Arial"/>
        <family val="2"/>
      </rPr>
      <t xml:space="preserve">4 </t>
    </r>
    <r>
      <rPr>
        <sz val="10"/>
        <rFont val="Arial"/>
        <family val="2"/>
      </rPr>
      <t>(~15 ml)</t>
    </r>
  </si>
  <si>
    <t xml:space="preserve"> mL Washwater; Temperature: 20 0C</t>
  </si>
  <si>
    <r>
      <t>After adding bleach,adjust to pH 7.0 using 10% KH</t>
    </r>
    <r>
      <rPr>
        <vertAlign val="subscript"/>
        <sz val="10"/>
        <rFont val="Arial"/>
        <family val="2"/>
      </rPr>
      <t>2</t>
    </r>
    <r>
      <rPr>
        <sz val="10"/>
        <rFont val="Arial"/>
        <family val="2"/>
      </rPr>
      <t>PO</t>
    </r>
    <r>
      <rPr>
        <vertAlign val="subscript"/>
        <sz val="10"/>
        <rFont val="Arial"/>
        <family val="2"/>
      </rPr>
      <t xml:space="preserve">4 </t>
    </r>
    <r>
      <rPr>
        <sz val="10"/>
        <rFont val="Arial"/>
        <family val="2"/>
      </rPr>
      <t>(~90 ml)</t>
    </r>
  </si>
  <si>
    <r>
      <rPr>
        <i/>
        <sz val="10"/>
        <rFont val="Arial"/>
        <family val="2"/>
      </rPr>
      <t>B. globigii</t>
    </r>
    <r>
      <rPr>
        <sz val="10"/>
        <rFont val="Arial"/>
        <family val="2"/>
      </rPr>
      <t xml:space="preserve"> (~ 10</t>
    </r>
    <r>
      <rPr>
        <vertAlign val="superscript"/>
        <sz val="10"/>
        <rFont val="Arial"/>
        <family val="2"/>
      </rPr>
      <t>7</t>
    </r>
    <r>
      <rPr>
        <sz val="10"/>
        <rFont val="Arial"/>
        <family val="2"/>
      </rPr>
      <t>/100 mL)</t>
    </r>
  </si>
  <si>
    <t>Volume of Bleach (5% after collecting 100 mL T0 sample)</t>
  </si>
  <si>
    <t>Room temperature</t>
  </si>
  <si>
    <t>Temp</t>
  </si>
  <si>
    <r>
      <t xml:space="preserve">mL Washwater; Temperature: 4 </t>
    </r>
    <r>
      <rPr>
        <vertAlign val="superscript"/>
        <sz val="10"/>
        <rFont val="Arial"/>
        <family val="2"/>
      </rPr>
      <t>0</t>
    </r>
    <r>
      <rPr>
        <sz val="10"/>
        <rFont val="Arial"/>
        <family val="2"/>
      </rPr>
      <t>C</t>
    </r>
  </si>
  <si>
    <r>
      <t xml:space="preserve">Washwater; Temperature: 4 </t>
    </r>
    <r>
      <rPr>
        <vertAlign val="superscript"/>
        <sz val="10"/>
        <rFont val="Arial"/>
        <family val="2"/>
      </rPr>
      <t>0</t>
    </r>
    <r>
      <rPr>
        <sz val="10"/>
        <rFont val="Arial"/>
        <family val="2"/>
      </rPr>
      <t>C</t>
    </r>
  </si>
  <si>
    <t>Bleach (5% after collecting 100 mL T0 sample)</t>
  </si>
  <si>
    <t>ml Bleach (5% after collecting 100 mL T0 sample)</t>
  </si>
  <si>
    <r>
      <t xml:space="preserve">mL Washwater; Temperature: 4 </t>
    </r>
    <r>
      <rPr>
        <vertAlign val="superscript"/>
        <sz val="10"/>
        <rFont val="Calibri"/>
        <family val="2"/>
      </rPr>
      <t>°</t>
    </r>
    <r>
      <rPr>
        <sz val="10"/>
        <rFont val="Arial"/>
        <family val="2"/>
      </rPr>
      <t>C</t>
    </r>
  </si>
  <si>
    <r>
      <t xml:space="preserve">mL Washwater; Temperature:20 </t>
    </r>
    <r>
      <rPr>
        <vertAlign val="superscript"/>
        <sz val="10"/>
        <rFont val="Calibri"/>
        <family val="2"/>
      </rPr>
      <t>°</t>
    </r>
    <r>
      <rPr>
        <sz val="10"/>
        <rFont val="Arial"/>
        <family val="2"/>
      </rPr>
      <t>C</t>
    </r>
  </si>
  <si>
    <t>time for a 7.8 log kill @ working concentration</t>
  </si>
  <si>
    <t>(&gt;)</t>
  </si>
  <si>
    <t>*time for max log kill @ working concentration</t>
  </si>
  <si>
    <t>*max log kill is the greatest log kill measured or else it is the greatest log kill that could be measured given the starting concentrations i.e., the greater than log inactivation shown in column j</t>
  </si>
  <si>
    <t>mL bleach (5% after collecting 100 mL T0 sample)</t>
  </si>
  <si>
    <r>
      <t xml:space="preserve">mL Cincy tap Floor wash with 1% Alconox + 45 </t>
    </r>
    <r>
      <rPr>
        <sz val="10"/>
        <rFont val="Calibri"/>
        <family val="2"/>
      </rPr>
      <t>µ</t>
    </r>
    <r>
      <rPr>
        <sz val="10"/>
        <rFont val="Arial"/>
        <family val="2"/>
      </rPr>
      <t>L motor oil</t>
    </r>
  </si>
  <si>
    <r>
      <t>Temperature of the water varied between 4.7 and 5.1 °</t>
    </r>
    <r>
      <rPr>
        <sz val="10"/>
        <color theme="1"/>
        <rFont val="Arial"/>
        <family val="2"/>
      </rPr>
      <t>C; however, the refrigerator temperature was between 5.0 - 8.0 °C.</t>
    </r>
  </si>
  <si>
    <r>
      <t xml:space="preserve">The </t>
    </r>
    <r>
      <rPr>
        <i/>
        <sz val="9"/>
        <color theme="1"/>
        <rFont val="Arial"/>
        <family val="2"/>
      </rPr>
      <t xml:space="preserve">B. globigii </t>
    </r>
    <r>
      <rPr>
        <sz val="9"/>
        <color theme="1"/>
        <rFont val="Arial"/>
        <family val="2"/>
      </rPr>
      <t xml:space="preserve">colonies were readily identifiable in plates for 0.1 mL and 1 mL filtration volume.  For 10 mL </t>
    </r>
  </si>
  <si>
    <r>
      <t xml:space="preserve">Temperature of the water varied between 21.6 and 23.1 </t>
    </r>
    <r>
      <rPr>
        <vertAlign val="superscript"/>
        <sz val="7"/>
        <color theme="1"/>
        <rFont val="Calibri"/>
        <family val="2"/>
        <scheme val="minor"/>
      </rPr>
      <t>0</t>
    </r>
    <r>
      <rPr>
        <sz val="7"/>
        <color theme="1"/>
        <rFont val="Calibri"/>
        <family val="2"/>
        <scheme val="minor"/>
      </rPr>
      <t>C.</t>
    </r>
  </si>
  <si>
    <r>
      <t xml:space="preserve">The rate of inactivation of HPC was faster than that observed in </t>
    </r>
    <r>
      <rPr>
        <i/>
        <sz val="7"/>
        <color indexed="8"/>
        <rFont val="Calibri"/>
        <family val="2"/>
        <scheme val="minor"/>
      </rPr>
      <t>B. globigii</t>
    </r>
    <r>
      <rPr>
        <sz val="7"/>
        <color indexed="8"/>
        <rFont val="Calibri"/>
        <family val="2"/>
        <scheme val="minor"/>
      </rPr>
      <t xml:space="preserve"> inactivation.  Complete inactivation of HPC</t>
    </r>
  </si>
  <si>
    <r>
      <t xml:space="preserve">The </t>
    </r>
    <r>
      <rPr>
        <i/>
        <sz val="7"/>
        <color theme="1"/>
        <rFont val="Calibri"/>
        <family val="2"/>
        <scheme val="minor"/>
      </rPr>
      <t xml:space="preserve">B. globigii </t>
    </r>
    <r>
      <rPr>
        <sz val="7"/>
        <color theme="1"/>
        <rFont val="Calibri"/>
        <family val="2"/>
        <scheme val="minor"/>
      </rPr>
      <t xml:space="preserve">colonies were readily identifiable in plates for 0.1 mL and 1 mL filtration volume.  For 10 mL </t>
    </r>
  </si>
  <si>
    <t>The pH of the wastewater in this test was adjusted to 7.0 using potassium phosphate.</t>
  </si>
  <si>
    <t>1600 mL Washwater; Temperature: 20 °C</t>
  </si>
  <si>
    <r>
      <t xml:space="preserve">Temperature of the water varied between 22.4 and 23.1 </t>
    </r>
    <r>
      <rPr>
        <vertAlign val="superscript"/>
        <sz val="9"/>
        <color theme="1"/>
        <rFont val="Arial"/>
        <family val="2"/>
      </rPr>
      <t>0</t>
    </r>
    <r>
      <rPr>
        <sz val="9"/>
        <color theme="1"/>
        <rFont val="Arial"/>
        <family val="2"/>
      </rPr>
      <t>C.</t>
    </r>
  </si>
  <si>
    <r>
      <t xml:space="preserve">Complete inactivation </t>
    </r>
    <r>
      <rPr>
        <i/>
        <sz val="9"/>
        <color theme="1"/>
        <rFont val="Arial"/>
        <family val="2"/>
      </rPr>
      <t xml:space="preserve">B. globigii </t>
    </r>
    <r>
      <rPr>
        <sz val="9"/>
        <color theme="1"/>
        <rFont val="Arial"/>
        <family val="2"/>
      </rPr>
      <t>was achieved at 5 minutes of contact time in this test.  The LI value at 5 minutes</t>
    </r>
  </si>
  <si>
    <r>
      <t xml:space="preserve">The rate of inactivation of HPC was similar to that observed in </t>
    </r>
    <r>
      <rPr>
        <i/>
        <sz val="9"/>
        <color indexed="8"/>
        <rFont val="Arial"/>
        <family val="2"/>
      </rPr>
      <t>B. globigii</t>
    </r>
    <r>
      <rPr>
        <sz val="9"/>
        <color indexed="8"/>
        <rFont val="Arial"/>
        <family val="2"/>
      </rPr>
      <t xml:space="preserve"> inactivation.  </t>
    </r>
  </si>
  <si>
    <t>Temperature of the water varied between 20.9 and 22.4 °C.</t>
  </si>
  <si>
    <r>
      <t xml:space="preserve">Complete inactivation </t>
    </r>
    <r>
      <rPr>
        <i/>
        <sz val="9"/>
        <color theme="1"/>
        <rFont val="Arial"/>
        <family val="2"/>
      </rPr>
      <t xml:space="preserve">B. globigii </t>
    </r>
    <r>
      <rPr>
        <sz val="9"/>
        <color theme="1"/>
        <rFont val="Arial"/>
        <family val="2"/>
      </rPr>
      <t>was achieved at 30 minutes of contact time in this test.  The LI value at 30 minutes</t>
    </r>
  </si>
  <si>
    <r>
      <t xml:space="preserve">The rate of inactivation of HPC was faster than that observed in </t>
    </r>
    <r>
      <rPr>
        <i/>
        <sz val="9"/>
        <color indexed="8"/>
        <rFont val="Arial"/>
        <family val="2"/>
      </rPr>
      <t>B. globigii</t>
    </r>
    <r>
      <rPr>
        <sz val="9"/>
        <color indexed="8"/>
        <rFont val="Arial"/>
        <family val="2"/>
      </rPr>
      <t xml:space="preserve"> inactivation. Complete inactivation of HPC was observed </t>
    </r>
  </si>
  <si>
    <r>
      <t xml:space="preserve">Temperature of the water varied between 18.8 and 20.4 </t>
    </r>
    <r>
      <rPr>
        <vertAlign val="superscript"/>
        <sz val="9"/>
        <color theme="1"/>
        <rFont val="Arial"/>
        <family val="2"/>
      </rPr>
      <t>0</t>
    </r>
    <r>
      <rPr>
        <sz val="9"/>
        <color theme="1"/>
        <rFont val="Arial"/>
        <family val="2"/>
      </rPr>
      <t>C.</t>
    </r>
  </si>
  <si>
    <r>
      <t xml:space="preserve">Complete inactivation </t>
    </r>
    <r>
      <rPr>
        <i/>
        <sz val="9"/>
        <color theme="1"/>
        <rFont val="Arial"/>
        <family val="2"/>
      </rPr>
      <t xml:space="preserve">B. globigii </t>
    </r>
    <r>
      <rPr>
        <sz val="9"/>
        <color theme="1"/>
        <rFont val="Arial"/>
        <family val="2"/>
      </rPr>
      <t>was achieved at 10 minutes of contact time in this test.  The LI value at 10 minutes</t>
    </r>
  </si>
  <si>
    <r>
      <t xml:space="preserve">The rate of inactivation of HPC was faster than that observed in </t>
    </r>
    <r>
      <rPr>
        <i/>
        <sz val="9"/>
        <color indexed="8"/>
        <rFont val="Arial"/>
        <family val="2"/>
      </rPr>
      <t>B. globigii</t>
    </r>
    <r>
      <rPr>
        <sz val="9"/>
        <color indexed="8"/>
        <rFont val="Arial"/>
        <family val="2"/>
      </rPr>
      <t xml:space="preserve"> inactivation. Complete inactivation of HPC was observed</t>
    </r>
  </si>
  <si>
    <t>Temperature of the water varied between 3.1 and 6.1 °C.</t>
  </si>
  <si>
    <r>
      <t xml:space="preserve">The rate of inactivation of HPC was similar to that observed in </t>
    </r>
    <r>
      <rPr>
        <i/>
        <sz val="9"/>
        <color indexed="8"/>
        <rFont val="Arial"/>
        <family val="2"/>
      </rPr>
      <t>B. globigii</t>
    </r>
    <r>
      <rPr>
        <sz val="9"/>
        <color indexed="8"/>
        <rFont val="Arial"/>
        <family val="2"/>
      </rPr>
      <t xml:space="preserve"> inactivation. Complete inactivation of HPC was observed </t>
    </r>
  </si>
  <si>
    <t>Temperature of the water varied between 3.8 and 4.8 °C.</t>
  </si>
  <si>
    <t>similar to that observed in previous tests conducted with same WW at 20C and 4C.</t>
  </si>
  <si>
    <r>
      <t xml:space="preserve">Complete inactivation </t>
    </r>
    <r>
      <rPr>
        <i/>
        <sz val="9"/>
        <color theme="1"/>
        <rFont val="Arial"/>
        <family val="2"/>
      </rPr>
      <t xml:space="preserve">B. globigii </t>
    </r>
    <r>
      <rPr>
        <sz val="9"/>
        <color theme="1"/>
        <rFont val="Arial"/>
        <family val="2"/>
      </rPr>
      <t>was not achieved at 60 minutes of contact time in this test.  The LI value at 60 minutes</t>
    </r>
  </si>
  <si>
    <r>
      <t xml:space="preserve">contact time was 5.41, and the associated CT value was 164580 mg.min/L. The rate of inactivation of </t>
    </r>
    <r>
      <rPr>
        <i/>
        <sz val="9"/>
        <color indexed="8"/>
        <rFont val="Arial"/>
        <family val="2"/>
      </rPr>
      <t xml:space="preserve">B. globigii </t>
    </r>
    <r>
      <rPr>
        <sz val="9"/>
        <color indexed="8"/>
        <rFont val="Arial"/>
        <family val="2"/>
      </rPr>
      <t xml:space="preserve">is inconsistent </t>
    </r>
  </si>
  <si>
    <r>
      <t xml:space="preserve">contact time was &gt;7.26, and the associated CT value was 29430 mg.min/L. The rate of inactivation of </t>
    </r>
    <r>
      <rPr>
        <i/>
        <sz val="9"/>
        <color indexed="8"/>
        <rFont val="Arial"/>
        <family val="2"/>
      </rPr>
      <t xml:space="preserve">B. globigii </t>
    </r>
    <r>
      <rPr>
        <sz val="9"/>
        <color indexed="8"/>
        <rFont val="Arial"/>
        <family val="2"/>
      </rPr>
      <t xml:space="preserve">is similar to that </t>
    </r>
  </si>
  <si>
    <t>Temperature of the water varied between 4.2 and 5.1 °C.</t>
  </si>
  <si>
    <r>
      <t>The overall inactivation of B. globigii at 4°C</t>
    </r>
    <r>
      <rPr>
        <sz val="10"/>
        <color theme="1"/>
        <rFont val="Arial"/>
        <family val="2"/>
      </rPr>
      <t xml:space="preserve"> was slower than that observed at 20°C for same washwater. </t>
    </r>
  </si>
  <si>
    <t>Temp °C</t>
  </si>
  <si>
    <t>pH of water</t>
  </si>
  <si>
    <r>
      <t>pH after Cl</t>
    </r>
    <r>
      <rPr>
        <b/>
        <vertAlign val="subscript"/>
        <sz val="11"/>
        <color theme="1"/>
        <rFont val="Calibri"/>
        <family val="2"/>
        <scheme val="minor"/>
      </rPr>
      <t>2</t>
    </r>
    <r>
      <rPr>
        <b/>
        <sz val="11"/>
        <color theme="1"/>
        <rFont val="Calibri"/>
        <family val="2"/>
        <scheme val="minor"/>
      </rPr>
      <t xml:space="preserve"> addition</t>
    </r>
  </si>
  <si>
    <t>σ</t>
  </si>
  <si>
    <r>
      <t># of points for  T</t>
    </r>
    <r>
      <rPr>
        <b/>
        <vertAlign val="subscript"/>
        <sz val="11"/>
        <color theme="1"/>
        <rFont val="Calibri"/>
        <family val="2"/>
        <scheme val="minor"/>
      </rPr>
      <t>6log</t>
    </r>
    <r>
      <rPr>
        <b/>
        <sz val="11"/>
        <color theme="1"/>
        <rFont val="Calibri"/>
        <family val="2"/>
        <scheme val="minor"/>
      </rPr>
      <t xml:space="preserve"> calc.</t>
    </r>
  </si>
  <si>
    <r>
      <t>R</t>
    </r>
    <r>
      <rPr>
        <b/>
        <vertAlign val="superscript"/>
        <sz val="11"/>
        <color theme="1"/>
        <rFont val="Calibri"/>
        <family val="2"/>
        <scheme val="minor"/>
      </rPr>
      <t>2</t>
    </r>
  </si>
  <si>
    <t>A. Floor wash water</t>
  </si>
  <si>
    <t>A1</t>
  </si>
  <si>
    <t xml:space="preserve"> w/1% Alconox</t>
  </si>
  <si>
    <r>
      <t xml:space="preserve">Avg. </t>
    </r>
    <r>
      <rPr>
        <b/>
        <i/>
        <sz val="10.5"/>
        <color theme="1"/>
        <rFont val="Calibri"/>
        <family val="2"/>
        <scheme val="minor"/>
      </rPr>
      <t>(std. dev)</t>
    </r>
  </si>
  <si>
    <t xml:space="preserve">B. Floor wash water </t>
  </si>
  <si>
    <t xml:space="preserve">w/1% Alconox and </t>
  </si>
  <si>
    <t>added hardness</t>
  </si>
  <si>
    <t>C. PPE wash water</t>
  </si>
  <si>
    <t>w/1% Alconox</t>
  </si>
  <si>
    <t>16crR</t>
  </si>
  <si>
    <t>D. PPE wash water</t>
  </si>
  <si>
    <t>E. Car wash water</t>
  </si>
  <si>
    <t>w/1% Dawn®</t>
  </si>
  <si>
    <t>F. Storm water</t>
  </si>
  <si>
    <t>from parking lot</t>
  </si>
  <si>
    <t xml:space="preserve">G. Rusty water, high </t>
  </si>
  <si>
    <t>iron content</t>
  </si>
  <si>
    <t xml:space="preserve">H. Floor wash water, </t>
  </si>
  <si>
    <t>1.9 mg/l motor oil</t>
  </si>
  <si>
    <t>Wash Water</t>
  </si>
  <si>
    <t>evaluation purposes as a conservative approach.  The LI value for T10 was not included in the calculation of CT</t>
  </si>
  <si>
    <t xml:space="preserve">w/ 1% Alconox and </t>
  </si>
  <si>
    <r>
      <t>T</t>
    </r>
    <r>
      <rPr>
        <b/>
        <vertAlign val="subscript"/>
        <sz val="11"/>
        <color theme="1"/>
        <rFont val="Calibri"/>
        <family val="2"/>
        <scheme val="minor"/>
      </rPr>
      <t>max</t>
    </r>
    <r>
      <rPr>
        <b/>
        <sz val="11"/>
        <color theme="1"/>
        <rFont val="Calibri"/>
        <family val="2"/>
        <scheme val="minor"/>
      </rPr>
      <t>, sample time for LI</t>
    </r>
    <r>
      <rPr>
        <b/>
        <vertAlign val="subscript"/>
        <sz val="11"/>
        <color theme="1"/>
        <rFont val="Calibri"/>
        <family val="2"/>
        <scheme val="minor"/>
      </rPr>
      <t>max</t>
    </r>
    <r>
      <rPr>
        <b/>
        <sz val="11"/>
        <color theme="1"/>
        <rFont val="Calibri"/>
        <family val="2"/>
        <scheme val="minor"/>
      </rPr>
      <t xml:space="preserve"> (min)</t>
    </r>
  </si>
  <si>
    <r>
      <t>t</t>
    </r>
    <r>
      <rPr>
        <b/>
        <vertAlign val="subscript"/>
        <sz val="11"/>
        <color theme="1"/>
        <rFont val="Calibri"/>
        <family val="2"/>
        <scheme val="minor"/>
      </rPr>
      <t>max</t>
    </r>
    <r>
      <rPr>
        <b/>
        <sz val="11"/>
        <color theme="1"/>
        <rFont val="Calibri"/>
        <family val="2"/>
        <scheme val="minor"/>
      </rPr>
      <t xml:space="preserve">       (min)</t>
    </r>
  </si>
  <si>
    <r>
      <t>t</t>
    </r>
    <r>
      <rPr>
        <b/>
        <vertAlign val="subscript"/>
        <sz val="11"/>
        <color theme="1"/>
        <rFont val="Calibri"/>
        <family val="2"/>
        <scheme val="minor"/>
      </rPr>
      <t>max</t>
    </r>
    <r>
      <rPr>
        <b/>
        <sz val="11"/>
        <color theme="1"/>
        <rFont val="Calibri"/>
        <family val="2"/>
        <scheme val="minor"/>
      </rPr>
      <t>/T</t>
    </r>
    <r>
      <rPr>
        <b/>
        <vertAlign val="subscript"/>
        <sz val="11"/>
        <color theme="1"/>
        <rFont val="Calibri"/>
        <family val="2"/>
        <scheme val="minor"/>
      </rPr>
      <t>max</t>
    </r>
  </si>
  <si>
    <r>
      <t>LI</t>
    </r>
    <r>
      <rPr>
        <b/>
        <vertAlign val="subscript"/>
        <sz val="11"/>
        <color theme="1"/>
        <rFont val="Calibri"/>
        <family val="2"/>
        <scheme val="minor"/>
      </rPr>
      <t>max</t>
    </r>
  </si>
  <si>
    <t>≥ 6.88</t>
  </si>
  <si>
    <t>≥ 7.04</t>
  </si>
  <si>
    <t xml:space="preserve"> ≥ 7.11</t>
  </si>
  <si>
    <t>≥ 7.17</t>
  </si>
  <si>
    <t>≥ 7.26</t>
  </si>
  <si>
    <t>≥ 6.1</t>
  </si>
  <si>
    <t>≥ 7.23</t>
  </si>
  <si>
    <t>≥ 7.15</t>
  </si>
  <si>
    <t>≥ 7.09</t>
  </si>
  <si>
    <t>≥ 7.11</t>
  </si>
  <si>
    <t>≥ 7.48</t>
  </si>
  <si>
    <t>≥ 7.80</t>
  </si>
  <si>
    <t>≥ 6.61</t>
  </si>
  <si>
    <t>≥ 7.14</t>
  </si>
  <si>
    <t>≥ 7.45</t>
  </si>
  <si>
    <t>≥ 7.12</t>
  </si>
  <si>
    <t>≥ 6.99</t>
  </si>
  <si>
    <t>≥ 7.18</t>
  </si>
  <si>
    <t>≥ 7.07</t>
  </si>
  <si>
    <t>≥ 7.00</t>
  </si>
  <si>
    <t>≥ 7.46</t>
  </si>
  <si>
    <t>≥7.48</t>
  </si>
  <si>
    <t>≥ 8.41</t>
  </si>
  <si>
    <t>≥ 7.38</t>
  </si>
  <si>
    <t>≥ 7.57</t>
  </si>
  <si>
    <t>≥ 7.32</t>
  </si>
  <si>
    <t>≥ 7.35</t>
  </si>
  <si>
    <t>≥ 7.40</t>
  </si>
  <si>
    <r>
      <t>T</t>
    </r>
    <r>
      <rPr>
        <b/>
        <vertAlign val="subscript"/>
        <sz val="11"/>
        <color theme="1"/>
        <rFont val="Calibri"/>
        <family val="2"/>
        <scheme val="minor"/>
      </rPr>
      <t>6log</t>
    </r>
    <r>
      <rPr>
        <b/>
        <sz val="11"/>
        <color theme="1"/>
        <rFont val="Calibri"/>
        <family val="2"/>
        <scheme val="minor"/>
      </rPr>
      <t>,      time for 6 log kill,  (min)</t>
    </r>
  </si>
  <si>
    <t>Table 3. General Inactivation Results. 3,000 mg NaOCl/liter</t>
  </si>
  <si>
    <t>A</t>
  </si>
  <si>
    <t>B</t>
  </si>
  <si>
    <t>Table 4. Inactivation at Different Amounts of Contact Time Before Adding Chlorine Bleach</t>
  </si>
  <si>
    <t>Test</t>
  </si>
  <si>
    <r>
      <t>Time of Cl</t>
    </r>
    <r>
      <rPr>
        <b/>
        <vertAlign val="subscript"/>
        <sz val="10"/>
        <color theme="1"/>
        <rFont val="Calibri"/>
        <family val="2"/>
        <scheme val="minor"/>
      </rPr>
      <t>2</t>
    </r>
    <r>
      <rPr>
        <b/>
        <sz val="10"/>
        <color theme="1"/>
        <rFont val="Calibri"/>
        <family val="2"/>
        <scheme val="minor"/>
      </rPr>
      <t xml:space="preserve"> addition</t>
    </r>
  </si>
  <si>
    <r>
      <t>pH after Cl</t>
    </r>
    <r>
      <rPr>
        <b/>
        <vertAlign val="subscript"/>
        <sz val="10"/>
        <color theme="1"/>
        <rFont val="Calibri"/>
        <family val="2"/>
        <scheme val="minor"/>
      </rPr>
      <t>2</t>
    </r>
    <r>
      <rPr>
        <b/>
        <sz val="10"/>
        <color theme="1"/>
        <rFont val="Calibri"/>
        <family val="2"/>
        <scheme val="minor"/>
      </rPr>
      <t xml:space="preserve"> addition</t>
    </r>
  </si>
  <si>
    <r>
      <t>LI</t>
    </r>
    <r>
      <rPr>
        <b/>
        <vertAlign val="subscript"/>
        <sz val="10"/>
        <color theme="1"/>
        <rFont val="Calibri"/>
        <family val="2"/>
        <scheme val="minor"/>
      </rPr>
      <t>max</t>
    </r>
  </si>
  <si>
    <r>
      <t>T</t>
    </r>
    <r>
      <rPr>
        <b/>
        <vertAlign val="subscript"/>
        <sz val="10"/>
        <color theme="1"/>
        <rFont val="Calibri"/>
        <family val="2"/>
        <scheme val="minor"/>
      </rPr>
      <t>max</t>
    </r>
    <r>
      <rPr>
        <b/>
        <sz val="10"/>
        <color theme="1"/>
        <rFont val="Calibri"/>
        <family val="2"/>
        <scheme val="minor"/>
      </rPr>
      <t>, sample time for LI</t>
    </r>
    <r>
      <rPr>
        <b/>
        <vertAlign val="subscript"/>
        <sz val="10"/>
        <color theme="1"/>
        <rFont val="Calibri"/>
        <family val="2"/>
        <scheme val="minor"/>
      </rPr>
      <t>max</t>
    </r>
    <r>
      <rPr>
        <b/>
        <sz val="10"/>
        <color theme="1"/>
        <rFont val="Calibri"/>
        <family val="2"/>
        <scheme val="minor"/>
      </rPr>
      <t xml:space="preserve"> (min)</t>
    </r>
  </si>
  <si>
    <r>
      <t>T</t>
    </r>
    <r>
      <rPr>
        <b/>
        <vertAlign val="subscript"/>
        <sz val="10"/>
        <color theme="1"/>
        <rFont val="Calibri"/>
        <family val="2"/>
        <scheme val="minor"/>
      </rPr>
      <t xml:space="preserve">6log, </t>
    </r>
    <r>
      <rPr>
        <b/>
        <sz val="10"/>
        <color theme="1"/>
        <rFont val="Calibri"/>
        <family val="2"/>
        <scheme val="minor"/>
      </rPr>
      <t>time for 6 log kill,  (min)</t>
    </r>
  </si>
  <si>
    <r>
      <t># of points for  T</t>
    </r>
    <r>
      <rPr>
        <b/>
        <vertAlign val="subscript"/>
        <sz val="10"/>
        <color theme="1"/>
        <rFont val="Calibri"/>
        <family val="2"/>
        <scheme val="minor"/>
      </rPr>
      <t>6log</t>
    </r>
    <r>
      <rPr>
        <b/>
        <sz val="10"/>
        <color theme="1"/>
        <rFont val="Calibri"/>
        <family val="2"/>
        <scheme val="minor"/>
      </rPr>
      <t xml:space="preserve"> calc.</t>
    </r>
  </si>
  <si>
    <t>Floor wash water</t>
  </si>
  <si>
    <t>0 hours</t>
  </si>
  <si>
    <t>≥ 7.1</t>
  </si>
  <si>
    <t>48 hours</t>
  </si>
  <si>
    <t>≥ 8.6</t>
  </si>
  <si>
    <t>21 °C</t>
  </si>
  <si>
    <t>96 hours</t>
  </si>
  <si>
    <t>≥ 8.0</t>
  </si>
  <si>
    <t>≥ 7.3</t>
  </si>
  <si>
    <t>≥ 7.9</t>
  </si>
  <si>
    <t>4° C</t>
  </si>
  <si>
    <t>Table 5.  Inactivation Results in Non-buffered and Buffered Car Wash Water w/1% Dawn®</t>
  </si>
  <si>
    <t>Lot # of washwater</t>
  </si>
  <si>
    <t>target pH of buffer</t>
  </si>
  <si>
    <t>no buffer</t>
  </si>
  <si>
    <t>≥ 7.6</t>
  </si>
  <si>
    <t>≥ 7.5</t>
  </si>
  <si>
    <t>≥ 7.7</t>
  </si>
  <si>
    <t>≥ 7.4</t>
  </si>
  <si>
    <t>&lt; 5*</t>
  </si>
  <si>
    <t>≥ 7.8</t>
  </si>
  <si>
    <t>Table 2. Water Quality Parameters of Wash Waters</t>
  </si>
  <si>
    <t xml:space="preserve">Wash </t>
  </si>
  <si>
    <t>Water</t>
  </si>
  <si>
    <t>COD</t>
  </si>
  <si>
    <t>(mg/L)</t>
  </si>
  <si>
    <t>Turbidity</t>
  </si>
  <si>
    <t>(NTU)</t>
  </si>
  <si>
    <t>Alkalinity¹</t>
  </si>
  <si>
    <r>
      <t>(mg CaCO</t>
    </r>
    <r>
      <rPr>
        <vertAlign val="subscript"/>
        <sz val="10.5"/>
        <color theme="1"/>
        <rFont val="Calibri"/>
        <family val="2"/>
        <scheme val="minor"/>
      </rPr>
      <t>3</t>
    </r>
    <r>
      <rPr>
        <sz val="10.5"/>
        <color theme="1"/>
        <rFont val="Calibri"/>
        <family val="2"/>
        <scheme val="minor"/>
      </rPr>
      <t>/L)</t>
    </r>
  </si>
  <si>
    <t>TSS¹</t>
  </si>
  <si>
    <t>TDS¹</t>
  </si>
  <si>
    <t>C</t>
  </si>
  <si>
    <t>D</t>
  </si>
  <si>
    <t>E</t>
  </si>
  <si>
    <t>F</t>
  </si>
  <si>
    <t>G</t>
  </si>
  <si>
    <t>H</t>
  </si>
  <si>
    <r>
      <t xml:space="preserve">¹ </t>
    </r>
    <r>
      <rPr>
        <b/>
        <sz val="9"/>
        <color theme="1"/>
        <rFont val="Calibri"/>
        <family val="2"/>
        <scheme val="minor"/>
      </rPr>
      <t>NA = n</t>
    </r>
    <r>
      <rPr>
        <sz val="10.5"/>
        <color theme="1"/>
        <rFont val="Calibri"/>
        <family val="2"/>
        <scheme val="minor"/>
      </rPr>
      <t>ot analyzed, TSS = Total suspended solids, TDS = Total dissolved solids</t>
    </r>
  </si>
  <si>
    <t>Original designation of wash water as described in the worksheet entitled "Initial Char."</t>
  </si>
  <si>
    <t xml:space="preserve">Wash water was not characterized after motor oil was added.  </t>
  </si>
  <si>
    <t>The data for these parameters can be found in worksheets labeled</t>
  </si>
  <si>
    <t>27aR, 27br, and 27c</t>
  </si>
  <si>
    <t>Table 1. Description of Wash Waters Studied</t>
  </si>
  <si>
    <t>Description</t>
  </si>
  <si>
    <t>Method of generation</t>
  </si>
  <si>
    <t>Floor wash water w/1% Alconox®</t>
  </si>
  <si>
    <t>Floors at the US EPA facility were mopped with a solution of 1% w/v Alconox®. The water was then collected by wringing mops using a janitorial bucket equipped with a wringer.</t>
  </si>
  <si>
    <t xml:space="preserve">Floor wash water  w/1% Alconox® with moderately hard reconstituted water (MHRW) </t>
  </si>
  <si>
    <t>PPE wash water w/1% Alconox®</t>
  </si>
  <si>
    <t>PPE-clad personnel were washed down with a solution of 1% (w/v) Alconox®.  Wash water was collected and stored as mentioned above.</t>
  </si>
  <si>
    <t>PPE wash water w/1% Alconox® in MHWR</t>
  </si>
  <si>
    <t>Same as Wash Water, C, above except MHWR was used instead of tap water.</t>
  </si>
  <si>
    <t>Car wash water with 1% Dawn®</t>
  </si>
  <si>
    <t>Vehicles were washed with a 1% solution of Dawn®, and the water collected and stored.</t>
  </si>
  <si>
    <t>Storm water from parking lot</t>
  </si>
  <si>
    <t>Rain water run off was collected at a storm sewer grate on the parking lot of the US EPA facility.  No other constituents were added.</t>
  </si>
  <si>
    <t>Rusty water, high iron content</t>
  </si>
  <si>
    <t>Tap water was sprayed through a heavily corroded ductile iron pipe and then collected at the other end of the pipe.  The tap water did not pass through a point-of-use filter containing carbon media.</t>
  </si>
  <si>
    <t>Floor wash water, w/1% Alconox® and 19 mg/L motor oil</t>
  </si>
  <si>
    <t>Same as Wash Water A.  Prior to an individual inactivation test, 45 µL of motor oil was added to the starting volume (2,000 mL) of wash water.  When bleach was added, this yielded a motor oil concentration of 19 mg/L.</t>
  </si>
  <si>
    <r>
      <t>Same as above except MHRW was used instead of tap water. The water was produced by adding 1.45 g, 21.74 g, 34.78 g, and 21.74 g of KCl, MgSO</t>
    </r>
    <r>
      <rPr>
        <b/>
        <vertAlign val="subscript"/>
        <sz val="11"/>
        <color theme="1"/>
        <rFont val="Calibri"/>
        <family val="2"/>
        <scheme val="minor"/>
      </rPr>
      <t>4</t>
    </r>
    <r>
      <rPr>
        <b/>
        <sz val="11"/>
        <color theme="1"/>
        <rFont val="Calibri"/>
        <family val="2"/>
        <scheme val="minor"/>
      </rPr>
      <t>, NaHCO</t>
    </r>
    <r>
      <rPr>
        <b/>
        <vertAlign val="subscript"/>
        <sz val="11"/>
        <color theme="1"/>
        <rFont val="Calibri"/>
        <family val="2"/>
        <scheme val="minor"/>
      </rPr>
      <t>3</t>
    </r>
    <r>
      <rPr>
        <b/>
        <sz val="11"/>
        <color theme="1"/>
        <rFont val="Calibri"/>
        <family val="2"/>
        <scheme val="minor"/>
      </rPr>
      <t xml:space="preserve"> and CaSO</t>
    </r>
    <r>
      <rPr>
        <b/>
        <vertAlign val="subscript"/>
        <sz val="11"/>
        <color theme="1"/>
        <rFont val="Calibri"/>
        <family val="2"/>
        <scheme val="minor"/>
      </rPr>
      <t>4</t>
    </r>
    <r>
      <rPr>
        <b/>
        <sz val="11"/>
        <color theme="1"/>
        <rFont val="Calibri"/>
        <family val="2"/>
        <scheme val="minor"/>
      </rPr>
      <t>∙2H</t>
    </r>
    <r>
      <rPr>
        <b/>
        <vertAlign val="subscript"/>
        <sz val="11"/>
        <color theme="1"/>
        <rFont val="Calibri"/>
        <family val="2"/>
        <scheme val="minor"/>
      </rPr>
      <t>2</t>
    </r>
    <r>
      <rPr>
        <b/>
        <sz val="11"/>
        <color theme="1"/>
        <rFont val="Calibri"/>
        <family val="2"/>
        <scheme val="minor"/>
      </rPr>
      <t>O, respectively, to 87 gallons of carbon filtered tap water.</t>
    </r>
  </si>
  <si>
    <t>Original designation of wash water as used in the research effort and in the individual worksheets in this spreadsheet</t>
  </si>
  <si>
    <t>#1 Floor Wash-Tap Water (with motor oil added)</t>
  </si>
  <si>
    <t>*no spores detected after chlorine addition</t>
  </si>
  <si>
    <t>test #</t>
  </si>
  <si>
    <t xml:space="preserve"> mL Washwater</t>
  </si>
  <si>
    <t>time for 6 log kill in 3,000 ppm NaOCl (minutes)</t>
  </si>
  <si>
    <t>The data for COD and turbidity shown in this table are</t>
  </si>
  <si>
    <t xml:space="preserve">averages of COD and turbidity taken at time 0 of the individual inactivation test.  </t>
  </si>
  <si>
    <t>PM 20C 0hr</t>
  </si>
  <si>
    <t>PM 20C 48 hr R</t>
  </si>
  <si>
    <t>PM 20C 96 hr R2</t>
  </si>
  <si>
    <t>PM 4C 0hr</t>
  </si>
  <si>
    <t>PM 4C 48 hr R</t>
  </si>
  <si>
    <t>PM 4C 96 hr R</t>
  </si>
  <si>
    <t>21d</t>
  </si>
  <si>
    <t>21e</t>
  </si>
  <si>
    <t>21f</t>
  </si>
  <si>
    <t>21g</t>
  </si>
  <si>
    <t>21h</t>
  </si>
  <si>
    <t>21l</t>
  </si>
  <si>
    <t>21i</t>
  </si>
  <si>
    <t>21j</t>
  </si>
  <si>
    <t>21m</t>
  </si>
  <si>
    <t>21k</t>
  </si>
  <si>
    <t>21o</t>
  </si>
  <si>
    <t>21p</t>
  </si>
  <si>
    <t>21q</t>
  </si>
  <si>
    <t>10d</t>
  </si>
  <si>
    <t>10e</t>
  </si>
  <si>
    <t>10eR</t>
  </si>
  <si>
    <t>10f</t>
  </si>
  <si>
    <t>10i</t>
  </si>
  <si>
    <t>10h</t>
  </si>
  <si>
    <t>10g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</si>
</sst>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E+00"/>
    <numFmt numFmtId="165" formatCode="0.0"/>
    <numFmt numFmtId="166" formatCode="#,##0.0"/>
    <numFmt numFmtId="167" formatCode="0.0000E+00"/>
    <numFmt numFmtId="168" formatCode="0.000"/>
  </numFmts>
  <fonts count="69" x14ac:knownFonts="1">
    <font>
      <sz val="11"/>
      <color theme="1"/>
      <name val="Calibri"/>
      <family val="2"/>
      <scheme val="minor"/>
    </font>
    <font>
      <sz val="10"/>
      <color theme="1"/>
      <name val="Arial"/>
      <family val="2"/>
    </font>
    <font>
      <sz val="10"/>
      <color theme="1"/>
      <name val="Arial"/>
      <family val="2"/>
    </font>
    <font>
      <sz val="10"/>
      <name val="Arial"/>
      <family val="2"/>
    </font>
    <font>
      <sz val="10"/>
      <name val="Arial"/>
      <family val="2"/>
    </font>
    <font>
      <vertAlign val="subscript"/>
      <sz val="10"/>
      <name val="Arial"/>
      <family val="2"/>
    </font>
    <font>
      <b/>
      <sz val="10"/>
      <name val="Arial"/>
      <family val="2"/>
    </font>
    <font>
      <b/>
      <i/>
      <sz val="10"/>
      <name val="Arial"/>
      <family val="2"/>
    </font>
    <font>
      <vertAlign val="superscript"/>
      <sz val="10"/>
      <name val="Arial"/>
      <family val="2"/>
    </font>
    <font>
      <i/>
      <sz val="10"/>
      <name val="Arial"/>
      <family val="2"/>
    </font>
    <font>
      <b/>
      <vertAlign val="superscript"/>
      <sz val="10"/>
      <name val="Arial"/>
      <family val="2"/>
    </font>
    <font>
      <sz val="10"/>
      <color indexed="8"/>
      <name val="Arial"/>
      <family val="2"/>
    </font>
    <font>
      <i/>
      <sz val="10"/>
      <color indexed="8"/>
      <name val="Arial"/>
      <family val="2"/>
    </font>
    <font>
      <sz val="10"/>
      <color theme="1"/>
      <name val="Arial"/>
      <family val="2"/>
    </font>
    <font>
      <sz val="12"/>
      <color theme="1"/>
      <name val="Times New Roman"/>
      <family val="1"/>
    </font>
    <font>
      <vertAlign val="superscript"/>
      <sz val="12"/>
      <color theme="1"/>
      <name val="Times New Roman"/>
      <family val="1"/>
    </font>
    <font>
      <i/>
      <sz val="12"/>
      <color theme="1"/>
      <name val="Times New Roman"/>
      <family val="1"/>
    </font>
    <font>
      <sz val="12"/>
      <color rgb="FF000000"/>
      <name val="Times New Roman"/>
      <family val="1"/>
    </font>
    <font>
      <vertAlign val="superscript"/>
      <sz val="12"/>
      <color rgb="FF000000"/>
      <name val="Times New Roman"/>
      <family val="1"/>
    </font>
    <font>
      <i/>
      <sz val="10"/>
      <color theme="1"/>
      <name val="Arial"/>
      <family val="2"/>
    </font>
    <font>
      <sz val="10"/>
      <name val="Calibri"/>
      <family val="2"/>
    </font>
    <font>
      <sz val="9"/>
      <name val="Arial"/>
      <family val="2"/>
    </font>
    <font>
      <vertAlign val="superscript"/>
      <sz val="10"/>
      <color theme="1"/>
      <name val="Arial"/>
      <family val="2"/>
    </font>
    <font>
      <sz val="11"/>
      <color theme="1"/>
      <name val="Arial"/>
      <family val="2"/>
    </font>
    <font>
      <vertAlign val="superscript"/>
      <sz val="11"/>
      <color theme="1"/>
      <name val="Arial"/>
      <family val="2"/>
    </font>
    <font>
      <sz val="10"/>
      <color rgb="FF000000"/>
      <name val="Arial"/>
      <family val="2"/>
    </font>
    <font>
      <sz val="10"/>
      <color indexed="8"/>
      <name val="Calibri"/>
      <family val="2"/>
    </font>
    <font>
      <sz val="10"/>
      <name val="Calibri"/>
      <family val="2"/>
      <scheme val="minor"/>
    </font>
    <font>
      <vertAlign val="superscript"/>
      <sz val="10"/>
      <color indexed="8"/>
      <name val="Arial"/>
      <family val="2"/>
    </font>
    <font>
      <sz val="10"/>
      <color theme="1"/>
      <name val="Calibri"/>
      <family val="2"/>
      <scheme val="minor"/>
    </font>
    <font>
      <sz val="11"/>
      <name val="Calibri"/>
      <family val="2"/>
      <scheme val="minor"/>
    </font>
    <font>
      <u/>
      <sz val="11"/>
      <color theme="10"/>
      <name val="Calibri"/>
      <family val="2"/>
    </font>
    <font>
      <b/>
      <sz val="11"/>
      <color theme="1"/>
      <name val="Calibri"/>
      <family val="2"/>
      <scheme val="minor"/>
    </font>
    <font>
      <vertAlign val="superscript"/>
      <sz val="10"/>
      <name val="Calibri"/>
      <family val="2"/>
    </font>
    <font>
      <sz val="12"/>
      <color rgb="FF444B51"/>
      <name val="Arial"/>
      <family val="2"/>
    </font>
    <font>
      <sz val="11"/>
      <color rgb="FF363636"/>
      <name val="Segoe UI"/>
      <family val="2"/>
    </font>
    <font>
      <sz val="9"/>
      <color indexed="81"/>
      <name val="Tahoma"/>
      <family val="2"/>
    </font>
    <font>
      <b/>
      <sz val="9"/>
      <color indexed="81"/>
      <name val="Tahoma"/>
      <family val="2"/>
    </font>
    <font>
      <sz val="10"/>
      <color indexed="8"/>
      <name val="Calibri"/>
      <family val="2"/>
      <scheme val="minor"/>
    </font>
    <font>
      <b/>
      <sz val="9"/>
      <name val="Arial"/>
      <family val="2"/>
    </font>
    <font>
      <sz val="9"/>
      <color theme="1"/>
      <name val="Calibri"/>
      <family val="2"/>
      <scheme val="minor"/>
    </font>
    <font>
      <sz val="9"/>
      <color indexed="8"/>
      <name val="Arial"/>
      <family val="2"/>
    </font>
    <font>
      <sz val="9"/>
      <color theme="1"/>
      <name val="Arial"/>
      <family val="2"/>
    </font>
    <font>
      <vertAlign val="superscript"/>
      <sz val="9"/>
      <color theme="1"/>
      <name val="Arial"/>
      <family val="2"/>
    </font>
    <font>
      <i/>
      <sz val="9"/>
      <color indexed="8"/>
      <name val="Arial"/>
      <family val="2"/>
    </font>
    <font>
      <i/>
      <sz val="9"/>
      <color theme="1"/>
      <name val="Arial"/>
      <family val="2"/>
    </font>
    <font>
      <sz val="8"/>
      <color theme="1"/>
      <name val="Calibri"/>
      <family val="2"/>
      <scheme val="minor"/>
    </font>
    <font>
      <sz val="8"/>
      <name val="Calibri"/>
      <family val="2"/>
      <scheme val="minor"/>
    </font>
    <font>
      <b/>
      <sz val="7"/>
      <name val="Calibri"/>
      <family val="2"/>
      <scheme val="minor"/>
    </font>
    <font>
      <sz val="7"/>
      <name val="Calibri"/>
      <family val="2"/>
      <scheme val="minor"/>
    </font>
    <font>
      <sz val="7"/>
      <color indexed="8"/>
      <name val="Calibri"/>
      <family val="2"/>
      <scheme val="minor"/>
    </font>
    <font>
      <sz val="7"/>
      <color theme="1"/>
      <name val="Calibri"/>
      <family val="2"/>
      <scheme val="minor"/>
    </font>
    <font>
      <vertAlign val="superscript"/>
      <sz val="7"/>
      <color theme="1"/>
      <name val="Calibri"/>
      <family val="2"/>
      <scheme val="minor"/>
    </font>
    <font>
      <i/>
      <sz val="7"/>
      <color indexed="8"/>
      <name val="Calibri"/>
      <family val="2"/>
      <scheme val="minor"/>
    </font>
    <font>
      <i/>
      <sz val="7"/>
      <color theme="1"/>
      <name val="Calibri"/>
      <family val="2"/>
      <scheme val="minor"/>
    </font>
    <font>
      <b/>
      <vertAlign val="subscript"/>
      <sz val="11"/>
      <color theme="1"/>
      <name val="Calibri"/>
      <family val="2"/>
      <scheme val="minor"/>
    </font>
    <font>
      <b/>
      <vertAlign val="superscript"/>
      <sz val="11"/>
      <color theme="1"/>
      <name val="Calibri"/>
      <family val="2"/>
      <scheme val="minor"/>
    </font>
    <font>
      <b/>
      <sz val="10.5"/>
      <color theme="1"/>
      <name val="Calibri"/>
      <family val="2"/>
      <scheme val="minor"/>
    </font>
    <font>
      <sz val="10.5"/>
      <color theme="1"/>
      <name val="Calibri"/>
      <family val="2"/>
      <scheme val="minor"/>
    </font>
    <font>
      <b/>
      <i/>
      <sz val="10.5"/>
      <color theme="1"/>
      <name val="Calibri"/>
      <family val="2"/>
      <scheme val="minor"/>
    </font>
    <font>
      <i/>
      <sz val="10.5"/>
      <color theme="1"/>
      <name val="Calibri"/>
      <family val="2"/>
      <scheme val="minor"/>
    </font>
    <font>
      <sz val="10.5"/>
      <name val="Calibri"/>
      <family val="2"/>
      <scheme val="minor"/>
    </font>
    <font>
      <b/>
      <sz val="10.5"/>
      <name val="Calibri"/>
      <family val="2"/>
      <scheme val="minor"/>
    </font>
    <font>
      <b/>
      <sz val="10"/>
      <color theme="1"/>
      <name val="Calibri"/>
      <family val="2"/>
      <scheme val="minor"/>
    </font>
    <font>
      <b/>
      <vertAlign val="subscript"/>
      <sz val="10"/>
      <color theme="1"/>
      <name val="Calibri"/>
      <family val="2"/>
      <scheme val="minor"/>
    </font>
    <font>
      <vertAlign val="subscript"/>
      <sz val="10.5"/>
      <color theme="1"/>
      <name val="Calibri"/>
      <family val="2"/>
      <scheme val="minor"/>
    </font>
    <font>
      <b/>
      <sz val="9"/>
      <color theme="1"/>
      <name val="Calibri"/>
      <family val="2"/>
      <scheme val="minor"/>
    </font>
    <font>
      <b/>
      <sz val="9"/>
      <color indexed="81"/>
      <name val="Tahoma"/>
      <charset val="1"/>
    </font>
    <font>
      <sz val="9"/>
      <color indexed="81"/>
      <name val="Tahoma"/>
      <charset val="1"/>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auto="1"/>
      </bottom>
      <diagonal/>
    </border>
    <border>
      <left/>
      <right/>
      <top/>
      <bottom style="thin">
        <color auto="1"/>
      </bottom>
      <diagonal/>
    </border>
    <border>
      <left/>
      <right/>
      <top style="thin">
        <color auto="1"/>
      </top>
      <bottom/>
      <diagonal/>
    </border>
    <border>
      <left style="medium">
        <color indexed="64"/>
      </left>
      <right style="medium">
        <color indexed="64"/>
      </right>
      <top/>
      <bottom/>
      <diagonal/>
    </border>
    <border>
      <left style="thin">
        <color indexed="64"/>
      </left>
      <right style="dashed">
        <color indexed="64"/>
      </right>
      <top style="thin">
        <color indexed="64"/>
      </top>
      <bottom style="medium">
        <color indexed="64"/>
      </bottom>
      <diagonal/>
    </border>
    <border>
      <left style="dashed">
        <color auto="1"/>
      </left>
      <right style="thin">
        <color auto="1"/>
      </right>
      <top/>
      <bottom/>
      <diagonal/>
    </border>
    <border>
      <left style="dashed">
        <color auto="1"/>
      </left>
      <right style="thin">
        <color auto="1"/>
      </right>
      <top/>
      <bottom style="thin">
        <color auto="1"/>
      </bottom>
      <diagonal/>
    </border>
    <border>
      <left style="dashed">
        <color auto="1"/>
      </left>
      <right style="thin">
        <color auto="1"/>
      </right>
      <top style="thin">
        <color indexed="64"/>
      </top>
      <bottom/>
      <diagonal/>
    </border>
    <border>
      <left style="dashed">
        <color auto="1"/>
      </left>
      <right style="thin">
        <color auto="1"/>
      </right>
      <top/>
      <bottom style="medium">
        <color auto="1"/>
      </bottom>
      <diagonal/>
    </border>
    <border>
      <left/>
      <right style="medium">
        <color rgb="FF7F7F7F"/>
      </right>
      <top/>
      <bottom/>
      <diagonal/>
    </border>
    <border>
      <left style="medium">
        <color rgb="FF7F7F7F"/>
      </left>
      <right style="medium">
        <color rgb="FF7F7F7F"/>
      </right>
      <top/>
      <bottom style="medium">
        <color rgb="FF7F7F7F"/>
      </bottom>
      <diagonal/>
    </border>
    <border>
      <left style="medium">
        <color rgb="FF7F7F7F"/>
      </left>
      <right style="medium">
        <color rgb="FF7F7F7F"/>
      </right>
      <top/>
      <bottom/>
      <diagonal/>
    </border>
    <border>
      <left style="medium">
        <color rgb="FF7F7F7F"/>
      </left>
      <right style="medium">
        <color rgb="FF7F7F7F"/>
      </right>
      <top style="medium">
        <color rgb="FF7F7F7F"/>
      </top>
      <bottom style="medium">
        <color rgb="FF7F7F7F"/>
      </bottom>
      <diagonal/>
    </border>
  </borders>
  <cellStyleXfs count="3">
    <xf numFmtId="0" fontId="0" fillId="0" borderId="0"/>
    <xf numFmtId="0" fontId="3" fillId="0" borderId="0"/>
    <xf numFmtId="0" fontId="31" fillId="0" borderId="0" applyNumberFormat="0" applyFill="0" applyBorder="0" applyAlignment="0" applyProtection="0">
      <alignment vertical="top"/>
      <protection locked="0"/>
    </xf>
  </cellStyleXfs>
  <cellXfs count="431">
    <xf numFmtId="0" fontId="0" fillId="0" borderId="0" xfId="0"/>
    <xf numFmtId="0" fontId="3" fillId="0" borderId="0" xfId="1"/>
    <xf numFmtId="0" fontId="3" fillId="0" borderId="0" xfId="1" applyAlignment="1">
      <alignment horizontal="center"/>
    </xf>
    <xf numFmtId="0" fontId="3" fillId="0" borderId="0" xfId="1" applyAlignment="1">
      <alignment horizontal="right"/>
    </xf>
    <xf numFmtId="0" fontId="3" fillId="0" borderId="0" xfId="1" applyBorder="1"/>
    <xf numFmtId="14" fontId="3" fillId="0" borderId="0" xfId="1" applyNumberFormat="1" applyBorder="1"/>
    <xf numFmtId="0" fontId="3" fillId="0" borderId="0" xfId="1" applyBorder="1" applyAlignment="1">
      <alignment horizontal="right"/>
    </xf>
    <xf numFmtId="0" fontId="6" fillId="0" borderId="0" xfId="1" applyFont="1" applyAlignment="1">
      <alignment horizontal="left"/>
    </xf>
    <xf numFmtId="0" fontId="4" fillId="0" borderId="0" xfId="1" applyFont="1"/>
    <xf numFmtId="14" fontId="4" fillId="0" borderId="0" xfId="1" applyNumberFormat="1" applyFont="1"/>
    <xf numFmtId="0" fontId="6" fillId="0" borderId="2" xfId="1" applyFont="1" applyBorder="1" applyAlignment="1">
      <alignment horizontal="center" vertical="top" wrapText="1"/>
    </xf>
    <xf numFmtId="0" fontId="6" fillId="0" borderId="3" xfId="1" applyFont="1" applyBorder="1" applyAlignment="1">
      <alignment horizontal="center" vertical="top" wrapText="1"/>
    </xf>
    <xf numFmtId="0" fontId="7" fillId="0" borderId="4" xfId="1" applyFont="1" applyFill="1" applyBorder="1" applyAlignment="1">
      <alignment horizontal="center" vertical="top" wrapText="1"/>
    </xf>
    <xf numFmtId="0" fontId="6" fillId="0" borderId="4" xfId="1" applyFont="1" applyBorder="1" applyAlignment="1">
      <alignment horizontal="center" vertical="top" wrapText="1"/>
    </xf>
    <xf numFmtId="0" fontId="6" fillId="0" borderId="2" xfId="1" applyFont="1" applyFill="1" applyBorder="1" applyAlignment="1">
      <alignment horizontal="center" vertical="top" wrapText="1"/>
    </xf>
    <xf numFmtId="0" fontId="4" fillId="0" borderId="5" xfId="1" applyFont="1" applyBorder="1" applyAlignment="1">
      <alignment horizontal="center" vertical="top" wrapText="1"/>
    </xf>
    <xf numFmtId="0" fontId="4" fillId="0" borderId="2" xfId="1" applyFont="1" applyFill="1" applyBorder="1" applyAlignment="1">
      <alignment horizontal="center" vertical="top" wrapText="1"/>
    </xf>
    <xf numFmtId="0" fontId="4" fillId="0" borderId="2" xfId="1" applyFont="1" applyBorder="1"/>
    <xf numFmtId="0" fontId="4" fillId="0" borderId="2" xfId="1" applyFont="1" applyBorder="1" applyAlignment="1">
      <alignment horizontal="center"/>
    </xf>
    <xf numFmtId="0" fontId="6" fillId="0" borderId="0" xfId="1" applyFont="1"/>
    <xf numFmtId="0" fontId="4" fillId="0" borderId="0" xfId="1" applyFont="1" applyAlignment="1"/>
    <xf numFmtId="0" fontId="4" fillId="0" borderId="0" xfId="1" applyNumberFormat="1" applyFont="1"/>
    <xf numFmtId="0" fontId="11" fillId="0" borderId="0" xfId="0" applyFont="1"/>
    <xf numFmtId="0" fontId="11" fillId="0" borderId="2" xfId="0" applyFont="1" applyBorder="1" applyAlignment="1">
      <alignment horizontal="center" vertical="top" wrapText="1"/>
    </xf>
    <xf numFmtId="0" fontId="11" fillId="0" borderId="5" xfId="0" applyFont="1" applyBorder="1" applyAlignment="1">
      <alignment horizontal="center" vertical="top" wrapText="1"/>
    </xf>
    <xf numFmtId="0" fontId="4" fillId="0" borderId="0" xfId="1" applyFont="1" applyAlignment="1">
      <alignment horizontal="center"/>
    </xf>
    <xf numFmtId="164" fontId="4" fillId="0" borderId="2" xfId="1" applyNumberFormat="1" applyFont="1" applyBorder="1" applyAlignment="1">
      <alignment horizontal="center"/>
    </xf>
    <xf numFmtId="0" fontId="11" fillId="0" borderId="2" xfId="0" applyFont="1" applyBorder="1" applyAlignment="1">
      <alignment horizontal="center"/>
    </xf>
    <xf numFmtId="0" fontId="3" fillId="0" borderId="0" xfId="1" applyFont="1"/>
    <xf numFmtId="0" fontId="3" fillId="0" borderId="0" xfId="1" applyFont="1" applyAlignment="1">
      <alignment horizontal="center"/>
    </xf>
    <xf numFmtId="14" fontId="3" fillId="0" borderId="0" xfId="1" applyNumberFormat="1" applyFont="1"/>
    <xf numFmtId="0" fontId="3" fillId="0" borderId="0" xfId="1" applyFont="1" applyAlignment="1">
      <alignment horizontal="left" indent="1"/>
    </xf>
    <xf numFmtId="0" fontId="3" fillId="0" borderId="5" xfId="1" applyFont="1" applyBorder="1" applyAlignment="1">
      <alignment horizontal="center" vertical="top" wrapText="1"/>
    </xf>
    <xf numFmtId="164" fontId="3" fillId="0" borderId="2" xfId="1" applyNumberFormat="1" applyFont="1" applyBorder="1" applyAlignment="1">
      <alignment horizontal="center"/>
    </xf>
    <xf numFmtId="0" fontId="3" fillId="0" borderId="2" xfId="1" applyFont="1" applyFill="1" applyBorder="1" applyAlignment="1">
      <alignment horizontal="center" vertical="top" wrapText="1"/>
    </xf>
    <xf numFmtId="0" fontId="3" fillId="0" borderId="2" xfId="1" applyFont="1" applyBorder="1"/>
    <xf numFmtId="0" fontId="3" fillId="0" borderId="2" xfId="1" applyFont="1" applyBorder="1" applyAlignment="1">
      <alignment horizontal="center"/>
    </xf>
    <xf numFmtId="0" fontId="3" fillId="0" borderId="0" xfId="1" applyNumberFormat="1" applyFont="1"/>
    <xf numFmtId="0" fontId="11" fillId="0" borderId="0" xfId="0" applyFont="1" applyBorder="1" applyAlignment="1">
      <alignment horizontal="center" vertical="top" wrapText="1"/>
    </xf>
    <xf numFmtId="14" fontId="4" fillId="0" borderId="0" xfId="1" applyNumberFormat="1" applyFont="1" applyBorder="1" applyAlignment="1">
      <alignment horizontal="right"/>
    </xf>
    <xf numFmtId="14" fontId="3" fillId="0" borderId="0" xfId="1" applyNumberFormat="1" applyBorder="1" applyAlignment="1">
      <alignment horizontal="right"/>
    </xf>
    <xf numFmtId="0" fontId="13" fillId="0" borderId="0" xfId="0" applyFont="1"/>
    <xf numFmtId="0" fontId="14" fillId="0" borderId="7" xfId="0" applyFont="1" applyBorder="1" applyAlignment="1">
      <alignment horizontal="center" vertical="top" wrapText="1"/>
    </xf>
    <xf numFmtId="9" fontId="14" fillId="0" borderId="7" xfId="0" applyNumberFormat="1" applyFont="1" applyBorder="1" applyAlignment="1">
      <alignment horizontal="center" vertical="top" wrapText="1"/>
    </xf>
    <xf numFmtId="0" fontId="14" fillId="0" borderId="8" xfId="0" applyFont="1" applyBorder="1" applyAlignment="1">
      <alignment horizontal="center" vertical="top" wrapText="1"/>
    </xf>
    <xf numFmtId="0" fontId="14" fillId="0" borderId="5" xfId="0" applyFont="1" applyBorder="1" applyAlignment="1">
      <alignment horizontal="center" vertical="top" wrapText="1"/>
    </xf>
    <xf numFmtId="0" fontId="16" fillId="0" borderId="8" xfId="0" applyFont="1" applyBorder="1" applyAlignment="1">
      <alignment horizontal="center" vertical="top" wrapText="1"/>
    </xf>
    <xf numFmtId="0" fontId="15" fillId="0" borderId="0" xfId="0" applyFont="1"/>
    <xf numFmtId="0" fontId="17" fillId="0" borderId="0" xfId="0" applyFont="1"/>
    <xf numFmtId="0" fontId="18" fillId="0" borderId="0" xfId="0" applyFont="1"/>
    <xf numFmtId="2" fontId="11" fillId="0" borderId="5" xfId="0" applyNumberFormat="1" applyFont="1" applyBorder="1" applyAlignment="1">
      <alignment horizontal="center" vertical="top" wrapText="1"/>
    </xf>
    <xf numFmtId="165" fontId="11" fillId="0" borderId="2" xfId="0" applyNumberFormat="1" applyFont="1" applyBorder="1" applyAlignment="1">
      <alignment horizontal="center" vertical="top" wrapText="1"/>
    </xf>
    <xf numFmtId="0" fontId="3" fillId="0" borderId="10" xfId="1" applyBorder="1" applyAlignment="1">
      <alignment horizontal="center"/>
    </xf>
    <xf numFmtId="0" fontId="4" fillId="0" borderId="9" xfId="1" applyFont="1" applyBorder="1" applyAlignment="1">
      <alignment horizontal="center" wrapText="1"/>
    </xf>
    <xf numFmtId="0" fontId="4" fillId="0" borderId="9" xfId="1" applyFont="1" applyBorder="1" applyAlignment="1">
      <alignment horizontal="center"/>
    </xf>
    <xf numFmtId="0" fontId="3" fillId="0" borderId="9" xfId="1" applyBorder="1" applyAlignment="1">
      <alignment horizontal="center"/>
    </xf>
    <xf numFmtId="0" fontId="4" fillId="0" borderId="10" xfId="1" applyFont="1" applyBorder="1" applyAlignment="1">
      <alignment horizontal="center"/>
    </xf>
    <xf numFmtId="14" fontId="3" fillId="0" borderId="10" xfId="1" applyNumberFormat="1" applyFont="1" applyBorder="1" applyAlignment="1">
      <alignment horizontal="center"/>
    </xf>
    <xf numFmtId="0" fontId="11" fillId="0" borderId="5" xfId="0" applyFont="1" applyFill="1" applyBorder="1" applyAlignment="1">
      <alignment horizontal="center" vertical="top" wrapText="1"/>
    </xf>
    <xf numFmtId="0" fontId="3" fillId="0" borderId="0" xfId="1" applyFont="1" applyFill="1" applyBorder="1"/>
    <xf numFmtId="0" fontId="3" fillId="0" borderId="2" xfId="1" applyFont="1" applyFill="1" applyBorder="1" applyAlignment="1">
      <alignment horizontal="center"/>
    </xf>
    <xf numFmtId="0" fontId="23" fillId="0" borderId="0" xfId="0" applyFont="1"/>
    <xf numFmtId="0" fontId="25" fillId="0" borderId="0" xfId="0" applyFont="1"/>
    <xf numFmtId="11" fontId="11" fillId="0" borderId="5" xfId="0" applyNumberFormat="1" applyFont="1" applyBorder="1" applyAlignment="1">
      <alignment horizontal="center" vertical="top" wrapText="1"/>
    </xf>
    <xf numFmtId="0" fontId="0" fillId="0" borderId="0" xfId="0" applyFont="1"/>
    <xf numFmtId="0" fontId="27" fillId="0" borderId="0" xfId="1" applyFont="1"/>
    <xf numFmtId="0" fontId="3" fillId="0" borderId="10" xfId="1" applyFill="1" applyBorder="1" applyAlignment="1">
      <alignment horizontal="center"/>
    </xf>
    <xf numFmtId="0" fontId="3" fillId="0" borderId="11" xfId="1" applyBorder="1"/>
    <xf numFmtId="0" fontId="3" fillId="0" borderId="1" xfId="1" applyBorder="1" applyAlignment="1">
      <alignment horizontal="center"/>
    </xf>
    <xf numFmtId="0" fontId="11" fillId="0" borderId="0" xfId="0" applyFont="1" applyFill="1"/>
    <xf numFmtId="0" fontId="4" fillId="0" borderId="0" xfId="1" applyFont="1" applyFill="1"/>
    <xf numFmtId="0" fontId="4" fillId="0" borderId="0" xfId="1" applyFont="1" applyFill="1" applyAlignment="1">
      <alignment horizontal="center"/>
    </xf>
    <xf numFmtId="0" fontId="0" fillId="0" borderId="0" xfId="0" applyFill="1"/>
    <xf numFmtId="164" fontId="3" fillId="0" borderId="2" xfId="1" applyNumberFormat="1" applyFont="1" applyBorder="1" applyAlignment="1">
      <alignment horizontal="center" vertical="top"/>
    </xf>
    <xf numFmtId="0" fontId="3" fillId="0" borderId="11" xfId="1" applyBorder="1" applyAlignment="1">
      <alignment horizontal="center"/>
    </xf>
    <xf numFmtId="0" fontId="3" fillId="0" borderId="0" xfId="1" applyFont="1" applyAlignment="1"/>
    <xf numFmtId="0" fontId="3" fillId="0" borderId="5" xfId="1" applyFont="1" applyBorder="1" applyAlignment="1">
      <alignment horizontal="center" wrapText="1"/>
    </xf>
    <xf numFmtId="0" fontId="11" fillId="0" borderId="5" xfId="0" applyFont="1" applyBorder="1" applyAlignment="1">
      <alignment horizontal="center" wrapText="1"/>
    </xf>
    <xf numFmtId="0" fontId="11" fillId="0" borderId="5" xfId="0" applyFont="1" applyFill="1" applyBorder="1" applyAlignment="1">
      <alignment horizontal="center" wrapText="1"/>
    </xf>
    <xf numFmtId="0" fontId="13" fillId="0" borderId="0" xfId="0" applyFont="1" applyFill="1"/>
    <xf numFmtId="0" fontId="14" fillId="2" borderId="5" xfId="0" applyFont="1" applyFill="1" applyBorder="1" applyAlignment="1">
      <alignment horizontal="center" vertical="top" wrapText="1"/>
    </xf>
    <xf numFmtId="0" fontId="14" fillId="2" borderId="8" xfId="0" applyFont="1" applyFill="1" applyBorder="1" applyAlignment="1">
      <alignment horizontal="center" vertical="top" wrapText="1"/>
    </xf>
    <xf numFmtId="0" fontId="16" fillId="2" borderId="8" xfId="0" applyFont="1" applyFill="1" applyBorder="1" applyAlignment="1">
      <alignment horizontal="center" vertical="top" wrapText="1"/>
    </xf>
    <xf numFmtId="0" fontId="0" fillId="0" borderId="0" xfId="0" applyAlignment="1"/>
    <xf numFmtId="0" fontId="3" fillId="0" borderId="10" xfId="1" applyBorder="1"/>
    <xf numFmtId="14" fontId="3" fillId="0" borderId="0" xfId="1" applyNumberFormat="1" applyFont="1" applyBorder="1" applyAlignment="1">
      <alignment horizontal="right"/>
    </xf>
    <xf numFmtId="0" fontId="3" fillId="0" borderId="3" xfId="1" applyFont="1" applyBorder="1" applyAlignment="1">
      <alignment horizontal="center"/>
    </xf>
    <xf numFmtId="0" fontId="3" fillId="0" borderId="0" xfId="1" applyFont="1" applyFill="1"/>
    <xf numFmtId="0" fontId="3" fillId="0" borderId="0" xfId="1" applyFont="1" applyFill="1" applyAlignment="1">
      <alignment horizontal="center"/>
    </xf>
    <xf numFmtId="0" fontId="11" fillId="0" borderId="2" xfId="0" applyFont="1" applyFill="1" applyBorder="1" applyAlignment="1">
      <alignment horizontal="center"/>
    </xf>
    <xf numFmtId="0" fontId="29" fillId="0" borderId="0" xfId="0" applyFont="1"/>
    <xf numFmtId="0" fontId="11" fillId="0" borderId="2" xfId="0" applyFont="1" applyFill="1" applyBorder="1" applyAlignment="1">
      <alignment horizontal="center" vertical="top" wrapText="1"/>
    </xf>
    <xf numFmtId="2" fontId="3" fillId="0" borderId="0" xfId="1" applyNumberFormat="1" applyFont="1" applyAlignment="1">
      <alignment horizontal="center"/>
    </xf>
    <xf numFmtId="2" fontId="0" fillId="0" borderId="0" xfId="0" applyNumberFormat="1" applyAlignment="1">
      <alignment horizontal="center"/>
    </xf>
    <xf numFmtId="0" fontId="0" fillId="0" borderId="0" xfId="0" applyFont="1" applyAlignment="1">
      <alignment horizontal="center"/>
    </xf>
    <xf numFmtId="14" fontId="3" fillId="0" borderId="10" xfId="1" applyNumberFormat="1" applyBorder="1" applyAlignment="1">
      <alignment horizontal="right"/>
    </xf>
    <xf numFmtId="14" fontId="3" fillId="0" borderId="11" xfId="1" applyNumberFormat="1" applyBorder="1" applyAlignment="1">
      <alignment horizontal="right"/>
    </xf>
    <xf numFmtId="0" fontId="3" fillId="0" borderId="11" xfId="1" applyFill="1" applyBorder="1" applyAlignment="1">
      <alignment horizontal="center"/>
    </xf>
    <xf numFmtId="164" fontId="3" fillId="0" borderId="2" xfId="1" applyNumberFormat="1" applyFont="1" applyFill="1" applyBorder="1" applyAlignment="1">
      <alignment horizontal="center"/>
    </xf>
    <xf numFmtId="0" fontId="3" fillId="0" borderId="2" xfId="1" applyFont="1" applyFill="1" applyBorder="1"/>
    <xf numFmtId="2" fontId="11" fillId="0" borderId="5" xfId="0" applyNumberFormat="1" applyFont="1" applyFill="1" applyBorder="1" applyAlignment="1">
      <alignment horizontal="center" vertical="top" wrapText="1"/>
    </xf>
    <xf numFmtId="11" fontId="0" fillId="0" borderId="0" xfId="0" applyNumberFormat="1" applyAlignment="1">
      <alignment horizontal="center"/>
    </xf>
    <xf numFmtId="164" fontId="11" fillId="0" borderId="2" xfId="0" applyNumberFormat="1" applyFont="1" applyFill="1" applyBorder="1" applyAlignment="1">
      <alignment horizontal="center" vertical="top" wrapText="1"/>
    </xf>
    <xf numFmtId="165" fontId="11" fillId="0" borderId="5" xfId="0" applyNumberFormat="1" applyFont="1" applyFill="1" applyBorder="1" applyAlignment="1">
      <alignment horizontal="center" vertical="top" wrapText="1"/>
    </xf>
    <xf numFmtId="2" fontId="3" fillId="0" borderId="2" xfId="1" applyNumberFormat="1" applyFont="1" applyFill="1" applyBorder="1" applyAlignment="1">
      <alignment horizontal="center"/>
    </xf>
    <xf numFmtId="2" fontId="11" fillId="0" borderId="2" xfId="0" applyNumberFormat="1" applyFont="1" applyFill="1" applyBorder="1" applyAlignment="1">
      <alignment horizontal="center" vertical="top" wrapText="1"/>
    </xf>
    <xf numFmtId="11" fontId="3" fillId="0" borderId="0" xfId="1" applyNumberFormat="1" applyFont="1" applyAlignment="1">
      <alignment horizontal="center"/>
    </xf>
    <xf numFmtId="0" fontId="3" fillId="0" borderId="0" xfId="1" applyFont="1" applyAlignment="1">
      <alignment horizontal="center"/>
    </xf>
    <xf numFmtId="2" fontId="0" fillId="0" borderId="0" xfId="0" applyNumberFormat="1"/>
    <xf numFmtId="0" fontId="3" fillId="0" borderId="0" xfId="1" applyFont="1" applyAlignment="1">
      <alignment horizontal="center"/>
    </xf>
    <xf numFmtId="0" fontId="13" fillId="0" borderId="0" xfId="0" applyFont="1" applyFill="1" applyAlignment="1">
      <alignment horizontal="left"/>
    </xf>
    <xf numFmtId="165" fontId="11" fillId="0" borderId="2" xfId="0" applyNumberFormat="1" applyFont="1" applyFill="1" applyBorder="1" applyAlignment="1">
      <alignment horizontal="center" vertical="top" wrapText="1"/>
    </xf>
    <xf numFmtId="0" fontId="13" fillId="0" borderId="0" xfId="0" applyFont="1" applyAlignment="1">
      <alignment horizontal="left"/>
    </xf>
    <xf numFmtId="1" fontId="11" fillId="0" borderId="5" xfId="0" applyNumberFormat="1" applyFont="1" applyFill="1" applyBorder="1" applyAlignment="1">
      <alignment horizontal="center" vertical="top" wrapText="1"/>
    </xf>
    <xf numFmtId="164" fontId="11" fillId="0" borderId="5" xfId="0" applyNumberFormat="1" applyFont="1" applyBorder="1" applyAlignment="1">
      <alignment horizontal="center" vertical="top" wrapText="1"/>
    </xf>
    <xf numFmtId="164" fontId="11" fillId="0" borderId="0" xfId="0" applyNumberFormat="1" applyFont="1" applyBorder="1" applyAlignment="1">
      <alignment horizontal="center" vertical="top" wrapText="1"/>
    </xf>
    <xf numFmtId="165" fontId="3" fillId="0" borderId="2" xfId="1" applyNumberFormat="1" applyFont="1" applyFill="1" applyBorder="1" applyAlignment="1">
      <alignment horizontal="center" vertical="top" wrapText="1"/>
    </xf>
    <xf numFmtId="165" fontId="3" fillId="0" borderId="2" xfId="1" applyNumberFormat="1" applyFont="1" applyFill="1" applyBorder="1"/>
    <xf numFmtId="165" fontId="3" fillId="0" borderId="2" xfId="1" applyNumberFormat="1" applyFont="1" applyFill="1" applyBorder="1" applyAlignment="1">
      <alignment horizontal="center"/>
    </xf>
    <xf numFmtId="1" fontId="3" fillId="0" borderId="2" xfId="1" applyNumberFormat="1" applyFont="1" applyFill="1" applyBorder="1" applyAlignment="1">
      <alignment horizontal="center" vertical="top" wrapText="1"/>
    </xf>
    <xf numFmtId="1" fontId="3" fillId="0" borderId="2" xfId="1" applyNumberFormat="1" applyFont="1" applyFill="1" applyBorder="1"/>
    <xf numFmtId="1" fontId="3" fillId="0" borderId="2" xfId="1" applyNumberFormat="1" applyFont="1" applyFill="1" applyBorder="1" applyAlignment="1">
      <alignment horizontal="center"/>
    </xf>
    <xf numFmtId="1" fontId="11" fillId="0" borderId="2" xfId="0" applyNumberFormat="1" applyFont="1" applyFill="1" applyBorder="1" applyAlignment="1">
      <alignment horizontal="center" vertical="top" wrapText="1"/>
    </xf>
    <xf numFmtId="0" fontId="3" fillId="0" borderId="0" xfId="1" applyFont="1" applyAlignment="1">
      <alignment horizontal="center"/>
    </xf>
    <xf numFmtId="11" fontId="3" fillId="0" borderId="2" xfId="1" applyNumberFormat="1" applyFont="1" applyFill="1" applyBorder="1" applyAlignment="1">
      <alignment horizontal="center"/>
    </xf>
    <xf numFmtId="165" fontId="11" fillId="0" borderId="5" xfId="0" applyNumberFormat="1" applyFont="1" applyBorder="1" applyAlignment="1">
      <alignment horizontal="center" vertical="top" wrapText="1"/>
    </xf>
    <xf numFmtId="0" fontId="3" fillId="0" borderId="0" xfId="1" applyFont="1" applyAlignment="1">
      <alignment horizontal="center"/>
    </xf>
    <xf numFmtId="0" fontId="13" fillId="0" borderId="0" xfId="0" applyFont="1" applyFill="1" applyAlignment="1">
      <alignment horizontal="left"/>
    </xf>
    <xf numFmtId="14" fontId="3" fillId="0" borderId="0" xfId="1" applyNumberFormat="1" applyFont="1" applyAlignment="1">
      <alignment horizontal="center"/>
    </xf>
    <xf numFmtId="0" fontId="3" fillId="0" borderId="0" xfId="1" applyFont="1" applyAlignment="1">
      <alignment horizontal="center"/>
    </xf>
    <xf numFmtId="0" fontId="3" fillId="0" borderId="0" xfId="1" applyFont="1" applyAlignment="1">
      <alignment horizontal="center"/>
    </xf>
    <xf numFmtId="0" fontId="13" fillId="0" borderId="0" xfId="0" applyFont="1" applyFill="1" applyAlignment="1">
      <alignment horizontal="left"/>
    </xf>
    <xf numFmtId="0" fontId="3" fillId="0" borderId="0" xfId="1" applyFont="1" applyAlignment="1">
      <alignment horizontal="left"/>
    </xf>
    <xf numFmtId="0" fontId="14" fillId="2" borderId="2" xfId="0" applyFont="1" applyFill="1" applyBorder="1" applyAlignment="1">
      <alignment horizontal="center" vertical="top" wrapText="1"/>
    </xf>
    <xf numFmtId="0" fontId="14" fillId="2" borderId="3" xfId="0" applyFont="1" applyFill="1" applyBorder="1" applyAlignment="1">
      <alignment horizontal="center" vertical="top" wrapText="1"/>
    </xf>
    <xf numFmtId="0" fontId="16" fillId="2" borderId="3" xfId="0" applyFont="1" applyFill="1" applyBorder="1" applyAlignment="1">
      <alignment horizontal="center" vertical="top" wrapText="1"/>
    </xf>
    <xf numFmtId="0" fontId="3" fillId="0" borderId="0" xfId="1" applyFont="1" applyAlignment="1">
      <alignment horizontal="center"/>
    </xf>
    <xf numFmtId="0" fontId="13" fillId="0" borderId="0" xfId="0" applyFont="1" applyFill="1" applyAlignment="1">
      <alignment horizontal="left"/>
    </xf>
    <xf numFmtId="0" fontId="3" fillId="0" borderId="0" xfId="1" applyFont="1" applyAlignment="1">
      <alignment horizontal="left"/>
    </xf>
    <xf numFmtId="0" fontId="3" fillId="0" borderId="0" xfId="1" applyFont="1" applyAlignment="1">
      <alignment horizontal="center"/>
    </xf>
    <xf numFmtId="0" fontId="13" fillId="0" borderId="0" xfId="0" applyFont="1" applyFill="1" applyAlignment="1">
      <alignment horizontal="left"/>
    </xf>
    <xf numFmtId="0" fontId="3" fillId="0" borderId="0" xfId="1" applyFont="1" applyAlignment="1">
      <alignment horizontal="left"/>
    </xf>
    <xf numFmtId="0" fontId="3" fillId="0" borderId="0" xfId="1" applyFont="1" applyBorder="1" applyAlignment="1">
      <alignment horizontal="center" vertical="top" wrapText="1"/>
    </xf>
    <xf numFmtId="165" fontId="11" fillId="0" borderId="0" xfId="0" applyNumberFormat="1" applyFont="1" applyFill="1" applyBorder="1" applyAlignment="1">
      <alignment horizontal="center" vertical="top" wrapText="1"/>
    </xf>
    <xf numFmtId="2"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1" fontId="11" fillId="0" borderId="0" xfId="0" applyNumberFormat="1" applyFont="1" applyFill="1" applyBorder="1" applyAlignment="1">
      <alignment horizontal="center" vertical="top" wrapText="1"/>
    </xf>
    <xf numFmtId="11" fontId="3" fillId="0" borderId="0" xfId="1" applyNumberFormat="1" applyFont="1" applyFill="1" applyBorder="1" applyAlignment="1">
      <alignment horizontal="center"/>
    </xf>
    <xf numFmtId="2" fontId="11" fillId="0" borderId="0" xfId="0" applyNumberFormat="1" applyFont="1" applyBorder="1" applyAlignment="1">
      <alignment horizontal="center" vertical="top" wrapText="1"/>
    </xf>
    <xf numFmtId="165" fontId="11" fillId="0" borderId="0" xfId="0" applyNumberFormat="1" applyFont="1" applyBorder="1" applyAlignment="1">
      <alignment horizontal="center" vertical="top" wrapText="1"/>
    </xf>
    <xf numFmtId="1" fontId="3" fillId="0" borderId="0" xfId="1" applyNumberFormat="1" applyFont="1" applyFill="1" applyBorder="1" applyAlignment="1">
      <alignment horizontal="center"/>
    </xf>
    <xf numFmtId="0" fontId="11" fillId="0" borderId="0" xfId="0" applyFont="1" applyFill="1" applyBorder="1" applyAlignment="1">
      <alignment horizontal="center"/>
    </xf>
    <xf numFmtId="0" fontId="3" fillId="0" borderId="0" xfId="1" applyFont="1" applyAlignment="1">
      <alignment horizontal="left"/>
    </xf>
    <xf numFmtId="0" fontId="0" fillId="0" borderId="0" xfId="0" applyAlignment="1">
      <alignment horizontal="center" vertical="center"/>
    </xf>
    <xf numFmtId="1" fontId="3" fillId="0" borderId="0" xfId="1" applyNumberFormat="1" applyFont="1"/>
    <xf numFmtId="1" fontId="0" fillId="0" borderId="0" xfId="0" applyNumberFormat="1"/>
    <xf numFmtId="1" fontId="6" fillId="0" borderId="2" xfId="1" applyNumberFormat="1" applyFont="1" applyFill="1" applyBorder="1" applyAlignment="1">
      <alignment horizontal="center" vertical="top" wrapText="1"/>
    </xf>
    <xf numFmtId="1" fontId="3" fillId="0" borderId="0" xfId="1" applyNumberFormat="1" applyFont="1" applyAlignment="1"/>
    <xf numFmtId="1" fontId="3" fillId="0" borderId="0" xfId="1" applyNumberFormat="1" applyFont="1" applyAlignment="1">
      <alignment horizontal="left"/>
    </xf>
    <xf numFmtId="1" fontId="13" fillId="0" borderId="0" xfId="0" applyNumberFormat="1" applyFont="1" applyFill="1" applyAlignment="1">
      <alignment horizontal="left"/>
    </xf>
    <xf numFmtId="1" fontId="0" fillId="0" borderId="0" xfId="0" applyNumberFormat="1" applyFont="1" applyAlignment="1">
      <alignment horizontal="center"/>
    </xf>
    <xf numFmtId="1" fontId="6" fillId="0" borderId="3" xfId="1" applyNumberFormat="1" applyFont="1" applyBorder="1" applyAlignment="1">
      <alignment horizontal="center" vertical="top" wrapText="1"/>
    </xf>
    <xf numFmtId="1" fontId="13" fillId="0" borderId="0" xfId="0" applyNumberFormat="1" applyFont="1"/>
    <xf numFmtId="1" fontId="0" fillId="0" borderId="0" xfId="0" applyNumberFormat="1" applyFont="1"/>
    <xf numFmtId="0" fontId="2" fillId="0" borderId="0" xfId="0" applyFont="1"/>
    <xf numFmtId="0" fontId="2" fillId="0" borderId="0" xfId="0" applyFont="1" applyFill="1" applyAlignment="1">
      <alignment horizontal="left"/>
    </xf>
    <xf numFmtId="0" fontId="3" fillId="0" borderId="0" xfId="1" applyFont="1" applyAlignment="1">
      <alignment horizontal="center"/>
    </xf>
    <xf numFmtId="0" fontId="13" fillId="0" borderId="0" xfId="0" applyFont="1" applyFill="1" applyAlignment="1">
      <alignment horizontal="left"/>
    </xf>
    <xf numFmtId="0" fontId="3" fillId="0" borderId="0" xfId="1" applyFont="1" applyAlignment="1">
      <alignment horizontal="left"/>
    </xf>
    <xf numFmtId="0" fontId="3" fillId="0" borderId="0" xfId="1" applyFont="1" applyAlignment="1">
      <alignment horizontal="center"/>
    </xf>
    <xf numFmtId="0" fontId="13" fillId="0" borderId="0" xfId="0" applyFont="1" applyFill="1" applyAlignment="1">
      <alignment horizontal="left"/>
    </xf>
    <xf numFmtId="0" fontId="3" fillId="0" borderId="0" xfId="1" applyFont="1" applyAlignment="1">
      <alignment horizontal="left"/>
    </xf>
    <xf numFmtId="0" fontId="3" fillId="0" borderId="2" xfId="1" applyFont="1" applyBorder="1" applyAlignment="1">
      <alignment horizontal="center" vertical="top" wrapText="1"/>
    </xf>
    <xf numFmtId="2" fontId="11" fillId="0" borderId="2" xfId="0" applyNumberFormat="1" applyFont="1" applyFill="1" applyBorder="1" applyAlignment="1">
      <alignment vertical="top" wrapText="1"/>
    </xf>
    <xf numFmtId="2" fontId="11" fillId="0" borderId="5" xfId="0" applyNumberFormat="1" applyFont="1" applyFill="1" applyBorder="1" applyAlignment="1">
      <alignment vertical="top" wrapText="1"/>
    </xf>
    <xf numFmtId="11" fontId="3" fillId="0" borderId="2" xfId="1" applyNumberFormat="1" applyFont="1" applyFill="1" applyBorder="1" applyAlignment="1"/>
    <xf numFmtId="1" fontId="3" fillId="0" borderId="0" xfId="1" applyNumberFormat="1" applyFont="1" applyAlignment="1">
      <alignment horizontal="center"/>
    </xf>
    <xf numFmtId="1" fontId="0" fillId="0" borderId="0" xfId="0" applyNumberFormat="1" applyAlignment="1">
      <alignment horizontal="center"/>
    </xf>
    <xf numFmtId="0" fontId="0" fillId="0" borderId="0" xfId="0" applyAlignment="1">
      <alignment horizontal="center"/>
    </xf>
    <xf numFmtId="1" fontId="13" fillId="0" borderId="0" xfId="0" applyNumberFormat="1" applyFont="1" applyFill="1" applyAlignment="1">
      <alignment horizontal="center"/>
    </xf>
    <xf numFmtId="0" fontId="13" fillId="0" borderId="0" xfId="0" applyFont="1" applyFill="1" applyAlignment="1">
      <alignment horizontal="center"/>
    </xf>
    <xf numFmtId="0" fontId="3" fillId="0" borderId="0" xfId="1" applyFont="1" applyAlignment="1">
      <alignment horizontal="left"/>
    </xf>
    <xf numFmtId="2" fontId="11" fillId="0" borderId="2" xfId="0" applyNumberFormat="1" applyFont="1" applyBorder="1" applyAlignment="1">
      <alignment horizontal="center" vertical="top" wrapText="1"/>
    </xf>
    <xf numFmtId="0" fontId="3" fillId="0" borderId="0" xfId="1" applyFont="1" applyAlignment="1">
      <alignment horizontal="center"/>
    </xf>
    <xf numFmtId="0" fontId="13" fillId="0" borderId="0" xfId="0" applyFont="1" applyFill="1" applyAlignment="1">
      <alignment horizontal="left"/>
    </xf>
    <xf numFmtId="0" fontId="3" fillId="0" borderId="0" xfId="1" applyFont="1" applyAlignment="1">
      <alignment horizontal="center"/>
    </xf>
    <xf numFmtId="0" fontId="3" fillId="0" borderId="0" xfId="1" applyFont="1" applyAlignment="1">
      <alignment horizontal="center"/>
    </xf>
    <xf numFmtId="0" fontId="13" fillId="0" borderId="0" xfId="0" applyFont="1" applyFill="1" applyAlignment="1">
      <alignment horizontal="left"/>
    </xf>
    <xf numFmtId="0" fontId="1" fillId="0" borderId="0" xfId="0" applyFont="1" applyFill="1" applyAlignment="1">
      <alignment horizontal="left"/>
    </xf>
    <xf numFmtId="0" fontId="1" fillId="0" borderId="0" xfId="0" applyFont="1"/>
    <xf numFmtId="0" fontId="3" fillId="0" borderId="2" xfId="0" applyFont="1" applyBorder="1" applyAlignment="1">
      <alignment horizontal="center"/>
    </xf>
    <xf numFmtId="0" fontId="1" fillId="0" borderId="0" xfId="0" applyFont="1" applyAlignment="1">
      <alignment horizontal="center" vertical="center"/>
    </xf>
    <xf numFmtId="0" fontId="1" fillId="0" borderId="2" xfId="0" applyFont="1" applyBorder="1" applyAlignment="1">
      <alignment horizontal="center"/>
    </xf>
    <xf numFmtId="3" fontId="3" fillId="0" borderId="19" xfId="1" applyNumberFormat="1" applyFont="1" applyBorder="1" applyAlignment="1">
      <alignment horizontal="center"/>
    </xf>
    <xf numFmtId="0" fontId="3" fillId="0" borderId="0" xfId="1" applyFont="1" applyAlignment="1">
      <alignment horizontal="center"/>
    </xf>
    <xf numFmtId="0" fontId="3" fillId="0" borderId="0" xfId="1" applyFont="1" applyAlignment="1">
      <alignment horizontal="left"/>
    </xf>
    <xf numFmtId="0" fontId="13" fillId="0" borderId="0" xfId="0" applyFont="1" applyAlignment="1">
      <alignment horizontal="center"/>
    </xf>
    <xf numFmtId="0" fontId="1" fillId="0" borderId="0" xfId="0" applyFont="1" applyAlignment="1">
      <alignment horizontal="left"/>
    </xf>
    <xf numFmtId="2" fontId="3" fillId="0" borderId="0" xfId="1" applyNumberFormat="1" applyFont="1"/>
    <xf numFmtId="0" fontId="3" fillId="0" borderId="0" xfId="1" applyFont="1" applyAlignment="1">
      <alignment horizontal="center"/>
    </xf>
    <xf numFmtId="0" fontId="13" fillId="0" borderId="0" xfId="0" applyFont="1" applyFill="1" applyAlignment="1">
      <alignment horizontal="left"/>
    </xf>
    <xf numFmtId="0" fontId="3" fillId="0" borderId="0" xfId="1" applyFont="1" applyAlignment="1">
      <alignment horizontal="left"/>
    </xf>
    <xf numFmtId="0" fontId="2" fillId="0" borderId="0" xfId="0" applyFont="1" applyAlignment="1">
      <alignment horizontal="center"/>
    </xf>
    <xf numFmtId="1" fontId="13" fillId="0" borderId="0" xfId="0" applyNumberFormat="1" applyFont="1" applyAlignment="1">
      <alignment horizontal="center"/>
    </xf>
    <xf numFmtId="0" fontId="27" fillId="0" borderId="0" xfId="1" applyFont="1" applyAlignment="1">
      <alignment horizontal="center"/>
    </xf>
    <xf numFmtId="0" fontId="3" fillId="0" borderId="0" xfId="1" applyFont="1" applyAlignment="1">
      <alignment horizontal="center"/>
    </xf>
    <xf numFmtId="0" fontId="13" fillId="0" borderId="0" xfId="0" applyFont="1" applyFill="1" applyAlignment="1">
      <alignment horizontal="left"/>
    </xf>
    <xf numFmtId="0" fontId="3" fillId="0" borderId="0" xfId="1" applyFont="1" applyAlignment="1">
      <alignment horizontal="left"/>
    </xf>
    <xf numFmtId="0" fontId="3" fillId="0" borderId="0" xfId="1" applyFont="1" applyAlignment="1">
      <alignment horizontal="center"/>
    </xf>
    <xf numFmtId="0" fontId="3" fillId="0" borderId="0" xfId="1" applyFont="1" applyAlignment="1">
      <alignment horizontal="left"/>
    </xf>
    <xf numFmtId="0" fontId="3" fillId="0" borderId="0" xfId="1" applyFont="1" applyAlignment="1">
      <alignment horizontal="center"/>
    </xf>
    <xf numFmtId="0" fontId="3" fillId="0" borderId="0" xfId="1" applyFont="1" applyAlignment="1">
      <alignment horizontal="left"/>
    </xf>
    <xf numFmtId="2" fontId="1" fillId="0" borderId="0" xfId="0" applyNumberFormat="1" applyFont="1" applyAlignment="1">
      <alignment horizontal="center" vertical="center"/>
    </xf>
    <xf numFmtId="0" fontId="1" fillId="0" borderId="0" xfId="0" applyFont="1" applyAlignment="1">
      <alignment horizontal="center"/>
    </xf>
    <xf numFmtId="1" fontId="1" fillId="0" borderId="0" xfId="0" applyNumberFormat="1" applyFont="1" applyAlignment="1">
      <alignment horizontal="center"/>
    </xf>
    <xf numFmtId="0" fontId="3" fillId="0" borderId="0" xfId="1" applyFont="1" applyAlignment="1">
      <alignment horizontal="center"/>
    </xf>
    <xf numFmtId="0" fontId="3" fillId="0" borderId="0" xfId="1" applyFont="1" applyAlignment="1">
      <alignment horizontal="center"/>
    </xf>
    <xf numFmtId="0" fontId="3" fillId="0" borderId="0" xfId="1" applyFont="1" applyAlignment="1">
      <alignment horizontal="center"/>
    </xf>
    <xf numFmtId="0" fontId="3" fillId="0" borderId="0" xfId="1" applyFont="1" applyAlignment="1">
      <alignment horizontal="center"/>
    </xf>
    <xf numFmtId="0" fontId="3" fillId="0" borderId="0" xfId="1" applyFont="1" applyAlignment="1">
      <alignment horizontal="center"/>
    </xf>
    <xf numFmtId="1" fontId="11" fillId="0" borderId="2" xfId="0" applyNumberFormat="1" applyFont="1" applyBorder="1" applyAlignment="1">
      <alignment horizontal="center" vertical="top" wrapText="1"/>
    </xf>
    <xf numFmtId="0" fontId="11" fillId="0" borderId="5" xfId="0" applyNumberFormat="1" applyFont="1" applyBorder="1" applyAlignment="1">
      <alignment horizontal="center" vertical="top" wrapText="1"/>
    </xf>
    <xf numFmtId="0" fontId="3" fillId="0" borderId="0" xfId="1" applyFont="1" applyAlignment="1">
      <alignment horizontal="center"/>
    </xf>
    <xf numFmtId="14" fontId="1" fillId="0" borderId="0" xfId="0" applyNumberFormat="1" applyFont="1"/>
    <xf numFmtId="3" fontId="32" fillId="0" borderId="0" xfId="0" applyNumberFormat="1" applyFont="1"/>
    <xf numFmtId="0" fontId="32" fillId="0" borderId="0" xfId="0" applyFont="1"/>
    <xf numFmtId="0" fontId="34" fillId="0" borderId="0" xfId="0" applyFont="1"/>
    <xf numFmtId="0" fontId="35" fillId="0" borderId="0" xfId="0" applyFont="1"/>
    <xf numFmtId="3" fontId="0" fillId="0" borderId="0" xfId="0" applyNumberFormat="1"/>
    <xf numFmtId="165" fontId="0" fillId="0" borderId="0" xfId="0" applyNumberFormat="1"/>
    <xf numFmtId="0" fontId="3" fillId="0" borderId="0" xfId="1" applyFont="1" applyAlignment="1">
      <alignment horizontal="center"/>
    </xf>
    <xf numFmtId="0" fontId="3" fillId="0" borderId="0" xfId="1" applyFont="1" applyAlignment="1">
      <alignment horizontal="center"/>
    </xf>
    <xf numFmtId="1" fontId="3" fillId="0" borderId="0" xfId="1" applyNumberFormat="1" applyFont="1" applyAlignment="1">
      <alignment horizontal="left" indent="1"/>
    </xf>
    <xf numFmtId="3" fontId="11" fillId="0" borderId="2" xfId="0" applyNumberFormat="1" applyFont="1" applyBorder="1" applyAlignment="1">
      <alignment horizontal="center" vertical="top" wrapText="1"/>
    </xf>
    <xf numFmtId="0" fontId="3" fillId="0" borderId="0" xfId="1" applyFont="1" applyAlignment="1">
      <alignment horizontal="center"/>
    </xf>
    <xf numFmtId="0" fontId="3" fillId="0" borderId="0" xfId="1" applyFont="1" applyAlignment="1">
      <alignment horizontal="center"/>
    </xf>
    <xf numFmtId="0" fontId="3" fillId="0" borderId="0" xfId="1" applyFont="1" applyAlignment="1">
      <alignment horizontal="center"/>
    </xf>
    <xf numFmtId="0" fontId="3" fillId="0" borderId="0" xfId="1" applyFont="1" applyAlignment="1">
      <alignment horizontal="center"/>
    </xf>
    <xf numFmtId="11" fontId="3" fillId="0" borderId="0" xfId="1" applyNumberFormat="1" applyFont="1" applyAlignment="1">
      <alignment horizontal="left" indent="1"/>
    </xf>
    <xf numFmtId="0" fontId="3" fillId="0" borderId="0" xfId="1" applyFont="1" applyAlignment="1">
      <alignment horizontal="center"/>
    </xf>
    <xf numFmtId="0" fontId="3" fillId="0" borderId="0" xfId="1" applyFont="1" applyAlignment="1">
      <alignment horizontal="center"/>
    </xf>
    <xf numFmtId="0" fontId="3" fillId="0" borderId="0" xfId="1" applyFont="1" applyAlignment="1">
      <alignment horizontal="center"/>
    </xf>
    <xf numFmtId="0" fontId="3" fillId="0" borderId="0" xfId="1" applyFont="1" applyAlignment="1">
      <alignment horizontal="center"/>
    </xf>
    <xf numFmtId="11" fontId="0" fillId="0" borderId="0" xfId="0" applyNumberFormat="1"/>
    <xf numFmtId="0" fontId="3" fillId="0" borderId="0" xfId="1" applyFont="1" applyAlignment="1">
      <alignment horizontal="right" indent="1"/>
    </xf>
    <xf numFmtId="1" fontId="3" fillId="0" borderId="0" xfId="1" applyNumberFormat="1" applyFont="1" applyAlignment="1">
      <alignment horizontal="right" indent="1"/>
    </xf>
    <xf numFmtId="0" fontId="3" fillId="0" borderId="0" xfId="1" applyFont="1" applyAlignment="1">
      <alignment horizontal="right"/>
    </xf>
    <xf numFmtId="0" fontId="3" fillId="0" borderId="0" xfId="1" applyFont="1" applyFill="1" applyAlignment="1">
      <alignment horizontal="right"/>
    </xf>
    <xf numFmtId="11" fontId="0" fillId="0" borderId="0" xfId="0" applyNumberFormat="1" applyAlignment="1">
      <alignment horizontal="right"/>
    </xf>
    <xf numFmtId="166" fontId="11" fillId="0" borderId="2" xfId="0" applyNumberFormat="1" applyFont="1" applyBorder="1" applyAlignment="1">
      <alignment horizontal="center" vertical="top" wrapText="1"/>
    </xf>
    <xf numFmtId="0" fontId="3" fillId="0" borderId="0" xfId="1" applyFont="1" applyAlignment="1">
      <alignment horizontal="center"/>
    </xf>
    <xf numFmtId="0" fontId="3" fillId="0" borderId="0" xfId="1" applyFont="1" applyAlignment="1">
      <alignment horizontal="center"/>
    </xf>
    <xf numFmtId="0" fontId="38" fillId="0" borderId="2" xfId="0" applyFont="1" applyFill="1" applyBorder="1" applyAlignment="1">
      <alignment horizontal="center" vertical="top" wrapText="1"/>
    </xf>
    <xf numFmtId="2" fontId="38" fillId="0" borderId="5" xfId="0" applyNumberFormat="1" applyFont="1" applyBorder="1" applyAlignment="1">
      <alignment horizontal="center" vertical="top" wrapText="1"/>
    </xf>
    <xf numFmtId="165" fontId="38" fillId="0" borderId="5" xfId="0" applyNumberFormat="1" applyFont="1" applyBorder="1" applyAlignment="1">
      <alignment horizontal="center" vertical="top" wrapText="1"/>
    </xf>
    <xf numFmtId="167" fontId="11" fillId="0" borderId="2" xfId="0" applyNumberFormat="1" applyFont="1" applyBorder="1" applyAlignment="1">
      <alignment horizontal="center" vertical="top" wrapText="1"/>
    </xf>
    <xf numFmtId="11" fontId="3" fillId="0" borderId="0" xfId="1" applyNumberFormat="1" applyFont="1" applyAlignment="1">
      <alignment horizontal="right" indent="1"/>
    </xf>
    <xf numFmtId="0" fontId="3" fillId="0" borderId="0" xfId="1" applyFont="1" applyAlignment="1">
      <alignment horizontal="center"/>
    </xf>
    <xf numFmtId="0" fontId="3" fillId="0" borderId="0" xfId="1" applyFont="1" applyAlignment="1">
      <alignment horizontal="center"/>
    </xf>
    <xf numFmtId="0" fontId="3" fillId="0" borderId="0" xfId="1" applyFont="1" applyAlignment="1">
      <alignment horizontal="center"/>
    </xf>
    <xf numFmtId="0" fontId="39" fillId="0" borderId="0" xfId="1" applyFont="1"/>
    <xf numFmtId="0" fontId="21" fillId="0" borderId="0" xfId="1" applyFont="1"/>
    <xf numFmtId="0" fontId="40" fillId="0" borderId="0" xfId="0" applyFont="1"/>
    <xf numFmtId="0" fontId="41" fillId="0" borderId="0" xfId="0" applyFont="1"/>
    <xf numFmtId="0" fontId="42" fillId="0" borderId="0" xfId="0" applyFont="1"/>
    <xf numFmtId="0" fontId="21" fillId="0" borderId="0" xfId="1" applyFont="1" applyAlignment="1">
      <alignment horizontal="center"/>
    </xf>
    <xf numFmtId="0" fontId="41" fillId="0" borderId="0" xfId="0" applyFont="1" applyFill="1"/>
    <xf numFmtId="0" fontId="21" fillId="0" borderId="0" xfId="1" applyFont="1" applyFill="1"/>
    <xf numFmtId="0" fontId="21" fillId="0" borderId="0" xfId="1" applyFont="1" applyAlignment="1"/>
    <xf numFmtId="0" fontId="46" fillId="0" borderId="0" xfId="0" applyFont="1"/>
    <xf numFmtId="0" fontId="47" fillId="0" borderId="0" xfId="1" applyFont="1"/>
    <xf numFmtId="0" fontId="47" fillId="0" borderId="0" xfId="1" applyFont="1" applyAlignment="1">
      <alignment horizontal="center"/>
    </xf>
    <xf numFmtId="0" fontId="48" fillId="0" borderId="0" xfId="1" applyFont="1"/>
    <xf numFmtId="0" fontId="49" fillId="0" borderId="0" xfId="1" applyFont="1"/>
    <xf numFmtId="0" fontId="50" fillId="0" borderId="0" xfId="0" applyFont="1"/>
    <xf numFmtId="0" fontId="51" fillId="0" borderId="0" xfId="0" applyFont="1"/>
    <xf numFmtId="0" fontId="50" fillId="0" borderId="0" xfId="0" applyFont="1" applyFill="1"/>
    <xf numFmtId="0" fontId="49" fillId="0" borderId="0" xfId="1" applyFont="1" applyFill="1"/>
    <xf numFmtId="0" fontId="49" fillId="0" borderId="0" xfId="1" applyFont="1" applyAlignment="1"/>
    <xf numFmtId="164" fontId="3" fillId="0" borderId="0" xfId="1" applyNumberFormat="1" applyFont="1" applyBorder="1" applyAlignment="1">
      <alignment horizontal="center"/>
    </xf>
    <xf numFmtId="3" fontId="11" fillId="0" borderId="0" xfId="0" applyNumberFormat="1" applyFont="1" applyBorder="1" applyAlignment="1">
      <alignment horizontal="center" vertical="top" wrapText="1"/>
    </xf>
    <xf numFmtId="0" fontId="42" fillId="0" borderId="0" xfId="0" applyFont="1" applyFill="1"/>
    <xf numFmtId="0" fontId="40" fillId="0" borderId="0" xfId="0" applyFont="1" applyFill="1"/>
    <xf numFmtId="0" fontId="29" fillId="0" borderId="0" xfId="0" applyFont="1" applyFill="1"/>
    <xf numFmtId="0" fontId="21" fillId="0" borderId="0" xfId="1" applyFont="1" applyFill="1" applyAlignment="1">
      <alignment horizontal="center"/>
    </xf>
    <xf numFmtId="0" fontId="3" fillId="0" borderId="0" xfId="1" applyFont="1" applyAlignment="1">
      <alignment horizontal="center"/>
    </xf>
    <xf numFmtId="0" fontId="3" fillId="0" borderId="0" xfId="1" applyFont="1" applyAlignment="1">
      <alignment horizontal="center"/>
    </xf>
    <xf numFmtId="0" fontId="3" fillId="0" borderId="0" xfId="1" applyFont="1" applyAlignment="1">
      <alignment horizontal="center"/>
    </xf>
    <xf numFmtId="0" fontId="57" fillId="0" borderId="10" xfId="0" applyFont="1" applyBorder="1" applyAlignment="1">
      <alignment horizontal="left" vertical="center"/>
    </xf>
    <xf numFmtId="0" fontId="58" fillId="0" borderId="10" xfId="0" applyFont="1" applyBorder="1"/>
    <xf numFmtId="2" fontId="58" fillId="0" borderId="10" xfId="0" applyNumberFormat="1" applyFont="1" applyBorder="1"/>
    <xf numFmtId="1" fontId="58" fillId="0" borderId="0" xfId="0" applyNumberFormat="1" applyFont="1"/>
    <xf numFmtId="1" fontId="58" fillId="0" borderId="10" xfId="0" applyNumberFormat="1" applyFont="1" applyBorder="1" applyAlignment="1">
      <alignment horizontal="center"/>
    </xf>
    <xf numFmtId="168" fontId="58" fillId="0" borderId="10" xfId="0" applyNumberFormat="1" applyFont="1" applyBorder="1" applyAlignment="1">
      <alignment horizontal="right"/>
    </xf>
    <xf numFmtId="0" fontId="57" fillId="0" borderId="10" xfId="0" applyFont="1" applyBorder="1" applyAlignment="1">
      <alignment horizontal="right" vertical="center"/>
    </xf>
    <xf numFmtId="0" fontId="57" fillId="0" borderId="11" xfId="0" applyFont="1" applyBorder="1" applyAlignment="1">
      <alignment horizontal="right"/>
    </xf>
    <xf numFmtId="2" fontId="58" fillId="0" borderId="11" xfId="0" applyNumberFormat="1" applyFont="1" applyBorder="1"/>
    <xf numFmtId="1" fontId="60" fillId="0" borderId="11" xfId="0" applyNumberFormat="1" applyFont="1" applyBorder="1" applyAlignment="1">
      <alignment horizontal="center"/>
    </xf>
    <xf numFmtId="168" fontId="60" fillId="0" borderId="11" xfId="0" applyNumberFormat="1" applyFont="1" applyBorder="1" applyAlignment="1">
      <alignment horizontal="right"/>
    </xf>
    <xf numFmtId="0" fontId="57" fillId="0" borderId="10" xfId="0" applyFont="1" applyBorder="1" applyAlignment="1">
      <alignment horizontal="left"/>
    </xf>
    <xf numFmtId="165" fontId="58" fillId="0" borderId="10" xfId="0" applyNumberFormat="1" applyFont="1" applyBorder="1"/>
    <xf numFmtId="1" fontId="58" fillId="0" borderId="0" xfId="0" applyNumberFormat="1" applyFont="1" applyBorder="1"/>
    <xf numFmtId="0" fontId="57" fillId="0" borderId="10" xfId="0" applyFont="1" applyBorder="1" applyAlignment="1">
      <alignment horizontal="right"/>
    </xf>
    <xf numFmtId="0" fontId="57" fillId="0" borderId="10" xfId="0" applyFont="1" applyBorder="1"/>
    <xf numFmtId="165" fontId="57" fillId="0" borderId="10" xfId="0" applyNumberFormat="1" applyFont="1" applyBorder="1"/>
    <xf numFmtId="2" fontId="57" fillId="0" borderId="10" xfId="0" applyNumberFormat="1" applyFont="1" applyBorder="1"/>
    <xf numFmtId="1" fontId="57" fillId="0" borderId="0" xfId="0" applyNumberFormat="1" applyFont="1"/>
    <xf numFmtId="1" fontId="57" fillId="0" borderId="10" xfId="0" applyNumberFormat="1" applyFont="1" applyBorder="1" applyAlignment="1">
      <alignment horizontal="center"/>
    </xf>
    <xf numFmtId="168" fontId="57" fillId="0" borderId="10" xfId="0" applyNumberFormat="1" applyFont="1" applyBorder="1" applyAlignment="1">
      <alignment horizontal="right"/>
    </xf>
    <xf numFmtId="0" fontId="58" fillId="0" borderId="12" xfId="0" applyFont="1" applyBorder="1"/>
    <xf numFmtId="165" fontId="58" fillId="0" borderId="12" xfId="0" applyNumberFormat="1" applyFont="1" applyBorder="1"/>
    <xf numFmtId="1" fontId="58" fillId="0" borderId="22" xfId="0" applyNumberFormat="1" applyFont="1" applyBorder="1"/>
    <xf numFmtId="1" fontId="58" fillId="0" borderId="12" xfId="0" applyNumberFormat="1" applyFont="1" applyBorder="1" applyAlignment="1">
      <alignment horizontal="center"/>
    </xf>
    <xf numFmtId="168" fontId="58" fillId="0" borderId="12" xfId="0" applyNumberFormat="1" applyFont="1" applyBorder="1" applyAlignment="1">
      <alignment horizontal="right"/>
    </xf>
    <xf numFmtId="1" fontId="58" fillId="0" borderId="10" xfId="0" applyNumberFormat="1" applyFont="1" applyFill="1" applyBorder="1" applyAlignment="1">
      <alignment horizontal="center"/>
    </xf>
    <xf numFmtId="0" fontId="57" fillId="0" borderId="10" xfId="0" applyFont="1" applyFill="1" applyBorder="1"/>
    <xf numFmtId="0" fontId="58" fillId="0" borderId="10" xfId="0" applyFont="1" applyFill="1" applyBorder="1"/>
    <xf numFmtId="2" fontId="58" fillId="0" borderId="12" xfId="0" applyNumberFormat="1" applyFont="1" applyBorder="1"/>
    <xf numFmtId="1" fontId="58" fillId="0" borderId="10" xfId="0" applyNumberFormat="1" applyFont="1" applyBorder="1"/>
    <xf numFmtId="0" fontId="31" fillId="0" borderId="0" xfId="2" applyAlignment="1" applyProtection="1"/>
    <xf numFmtId="0" fontId="11" fillId="0" borderId="23" xfId="0" applyFont="1" applyFill="1" applyBorder="1" applyAlignment="1">
      <alignment horizontal="center" vertical="top" wrapText="1"/>
    </xf>
    <xf numFmtId="1" fontId="58" fillId="0" borderId="11" xfId="0" applyNumberFormat="1" applyFont="1" applyBorder="1"/>
    <xf numFmtId="1" fontId="57" fillId="0" borderId="10" xfId="0" applyNumberFormat="1" applyFont="1" applyBorder="1"/>
    <xf numFmtId="1" fontId="58" fillId="0" borderId="12" xfId="0" applyNumberFormat="1" applyFont="1" applyBorder="1"/>
    <xf numFmtId="0" fontId="32" fillId="0" borderId="15" xfId="0" applyFont="1" applyBorder="1" applyAlignment="1">
      <alignment horizontal="center" vertical="center"/>
    </xf>
    <xf numFmtId="0" fontId="32" fillId="0" borderId="15"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8" xfId="0" applyFont="1" applyBorder="1" applyAlignment="1">
      <alignment horizontal="center" vertical="center" wrapText="1"/>
    </xf>
    <xf numFmtId="2" fontId="58" fillId="0" borderId="25" xfId="0" applyNumberFormat="1" applyFont="1" applyBorder="1"/>
    <xf numFmtId="2" fontId="58" fillId="0" borderId="27" xfId="0" applyNumberFormat="1" applyFont="1" applyBorder="1"/>
    <xf numFmtId="0" fontId="58" fillId="0" borderId="0" xfId="0" applyFont="1" applyBorder="1"/>
    <xf numFmtId="165" fontId="58" fillId="0" borderId="0" xfId="0" applyNumberFormat="1" applyFont="1" applyBorder="1"/>
    <xf numFmtId="2" fontId="58" fillId="0" borderId="0" xfId="0" applyNumberFormat="1" applyFont="1" applyBorder="1"/>
    <xf numFmtId="1" fontId="58" fillId="0" borderId="0" xfId="0" applyNumberFormat="1" applyFont="1" applyBorder="1" applyAlignment="1">
      <alignment horizontal="center"/>
    </xf>
    <xf numFmtId="168" fontId="58" fillId="0" borderId="0" xfId="0" applyNumberFormat="1" applyFont="1" applyBorder="1" applyAlignment="1">
      <alignment horizontal="right"/>
    </xf>
    <xf numFmtId="2" fontId="57" fillId="0" borderId="11" xfId="0" applyNumberFormat="1" applyFont="1" applyBorder="1"/>
    <xf numFmtId="1" fontId="57" fillId="0" borderId="21" xfId="0" applyNumberFormat="1" applyFont="1" applyBorder="1"/>
    <xf numFmtId="1" fontId="57" fillId="0" borderId="11" xfId="0" applyNumberFormat="1" applyFont="1" applyBorder="1" applyAlignment="1">
      <alignment horizontal="center"/>
    </xf>
    <xf numFmtId="168" fontId="57" fillId="0" borderId="11" xfId="0" applyNumberFormat="1" applyFont="1" applyBorder="1" applyAlignment="1">
      <alignment horizontal="right"/>
    </xf>
    <xf numFmtId="1" fontId="57" fillId="0" borderId="11" xfId="0" applyNumberFormat="1" applyFont="1" applyBorder="1"/>
    <xf numFmtId="0" fontId="57" fillId="0" borderId="14" xfId="0" applyFont="1" applyBorder="1" applyAlignment="1">
      <alignment horizontal="right"/>
    </xf>
    <xf numFmtId="2" fontId="57" fillId="0" borderId="14" xfId="0" applyNumberFormat="1" applyFont="1" applyBorder="1"/>
    <xf numFmtId="1" fontId="57" fillId="0" borderId="20" xfId="0" applyNumberFormat="1" applyFont="1" applyBorder="1"/>
    <xf numFmtId="1" fontId="57" fillId="0" borderId="14" xfId="0" applyNumberFormat="1" applyFont="1" applyBorder="1" applyAlignment="1">
      <alignment horizontal="center"/>
    </xf>
    <xf numFmtId="168" fontId="57" fillId="0" borderId="14" xfId="0" applyNumberFormat="1" applyFont="1" applyBorder="1" applyAlignment="1">
      <alignment horizontal="right"/>
    </xf>
    <xf numFmtId="1" fontId="57" fillId="0" borderId="14" xfId="0" applyNumberFormat="1" applyFont="1" applyBorder="1"/>
    <xf numFmtId="165" fontId="57" fillId="0" borderId="14" xfId="0" applyNumberFormat="1" applyFont="1" applyBorder="1"/>
    <xf numFmtId="165" fontId="57" fillId="0" borderId="11" xfId="0" applyNumberFormat="1" applyFont="1" applyBorder="1"/>
    <xf numFmtId="2" fontId="58" fillId="0" borderId="10" xfId="0" applyNumberFormat="1" applyFont="1" applyBorder="1" applyAlignment="1"/>
    <xf numFmtId="0" fontId="32" fillId="0" borderId="15" xfId="0" applyFont="1" applyBorder="1" applyAlignment="1">
      <alignment horizontal="center" vertical="top"/>
    </xf>
    <xf numFmtId="2" fontId="57" fillId="0" borderId="14" xfId="0" applyNumberFormat="1" applyFont="1" applyBorder="1" applyAlignment="1">
      <alignment horizontal="right"/>
    </xf>
    <xf numFmtId="2" fontId="57" fillId="0" borderId="14" xfId="0" applyNumberFormat="1" applyFont="1" applyBorder="1" applyAlignment="1"/>
    <xf numFmtId="2" fontId="61" fillId="0" borderId="10" xfId="0" applyNumberFormat="1" applyFont="1" applyBorder="1"/>
    <xf numFmtId="2" fontId="57" fillId="0" borderId="10" xfId="0" applyNumberFormat="1" applyFont="1" applyBorder="1" applyAlignment="1">
      <alignment horizontal="right"/>
    </xf>
    <xf numFmtId="2" fontId="58" fillId="0" borderId="10" xfId="0" applyNumberFormat="1" applyFont="1" applyBorder="1" applyAlignment="1">
      <alignment horizontal="right"/>
    </xf>
    <xf numFmtId="2" fontId="61" fillId="0" borderId="10" xfId="0" applyNumberFormat="1" applyFont="1" applyBorder="1" applyAlignment="1">
      <alignment horizontal="right"/>
    </xf>
    <xf numFmtId="2" fontId="62" fillId="0" borderId="10" xfId="0" applyNumberFormat="1" applyFont="1" applyBorder="1" applyAlignment="1">
      <alignment horizontal="right"/>
    </xf>
    <xf numFmtId="2" fontId="62" fillId="0" borderId="14" xfId="0" applyNumberFormat="1" applyFont="1" applyBorder="1" applyAlignment="1">
      <alignment horizontal="right"/>
    </xf>
    <xf numFmtId="2" fontId="62" fillId="0" borderId="11" xfId="0" applyNumberFormat="1" applyFont="1" applyBorder="1" applyAlignment="1">
      <alignment horizontal="right"/>
    </xf>
    <xf numFmtId="0" fontId="61" fillId="0" borderId="0" xfId="0" applyFont="1" applyBorder="1"/>
    <xf numFmtId="0" fontId="30" fillId="0" borderId="0" xfId="0" applyFont="1"/>
    <xf numFmtId="2" fontId="58" fillId="0" borderId="12" xfId="0" applyNumberFormat="1" applyFont="1" applyBorder="1" applyAlignment="1">
      <alignment horizontal="right"/>
    </xf>
    <xf numFmtId="2" fontId="61" fillId="0" borderId="12" xfId="0" applyNumberFormat="1" applyFont="1" applyBorder="1" applyAlignment="1">
      <alignment horizontal="right"/>
    </xf>
    <xf numFmtId="2" fontId="61" fillId="0" borderId="12" xfId="1" applyNumberFormat="1" applyFont="1" applyBorder="1"/>
    <xf numFmtId="2" fontId="59" fillId="0" borderId="26" xfId="0" applyNumberFormat="1" applyFont="1" applyBorder="1"/>
    <xf numFmtId="2" fontId="59" fillId="0" borderId="28" xfId="0" applyNumberFormat="1" applyFont="1" applyBorder="1"/>
    <xf numFmtId="2" fontId="59" fillId="0" borderId="25" xfId="0" applyNumberFormat="1" applyFont="1" applyBorder="1"/>
    <xf numFmtId="0" fontId="63" fillId="0" borderId="0" xfId="0" applyFont="1"/>
    <xf numFmtId="0" fontId="63" fillId="0" borderId="15" xfId="0" applyFont="1" applyBorder="1" applyAlignment="1">
      <alignment horizontal="center" vertical="top"/>
    </xf>
    <xf numFmtId="0" fontId="63" fillId="0" borderId="15" xfId="0" applyFont="1" applyBorder="1" applyAlignment="1">
      <alignment horizontal="center" vertical="center" wrapText="1"/>
    </xf>
    <xf numFmtId="0" fontId="63" fillId="0" borderId="15" xfId="0" applyFont="1" applyBorder="1" applyAlignment="1">
      <alignment horizontal="center" vertical="center"/>
    </xf>
    <xf numFmtId="0" fontId="63" fillId="0" borderId="24" xfId="0" applyFont="1" applyBorder="1" applyAlignment="1">
      <alignment horizontal="center" vertical="center" wrapText="1"/>
    </xf>
    <xf numFmtId="0" fontId="63" fillId="0" borderId="15" xfId="0" applyFont="1" applyBorder="1" applyAlignment="1">
      <alignment horizontal="center" vertical="top" wrapText="1"/>
    </xf>
    <xf numFmtId="0" fontId="63" fillId="0" borderId="10" xfId="0" applyFont="1" applyBorder="1" applyAlignment="1">
      <alignment horizontal="left" vertical="center"/>
    </xf>
    <xf numFmtId="0" fontId="29" fillId="0" borderId="10" xfId="0" applyFont="1" applyBorder="1" applyAlignment="1">
      <alignment horizontal="center" vertical="center"/>
    </xf>
    <xf numFmtId="0" fontId="29" fillId="0" borderId="10" xfId="0" applyFont="1" applyBorder="1" applyAlignment="1">
      <alignment horizontal="center"/>
    </xf>
    <xf numFmtId="165" fontId="29" fillId="0" borderId="10" xfId="0" applyNumberFormat="1" applyFont="1" applyBorder="1" applyAlignment="1">
      <alignment horizontal="center"/>
    </xf>
    <xf numFmtId="1" fontId="29" fillId="0" borderId="10" xfId="0" applyNumberFormat="1" applyFont="1" applyFill="1" applyBorder="1" applyAlignment="1">
      <alignment horizontal="center"/>
    </xf>
    <xf numFmtId="0" fontId="63" fillId="0" borderId="11" xfId="0" applyFont="1" applyBorder="1" applyAlignment="1">
      <alignment horizontal="center" vertical="center"/>
    </xf>
    <xf numFmtId="0" fontId="29" fillId="0" borderId="11" xfId="0" applyFont="1" applyBorder="1" applyAlignment="1">
      <alignment horizontal="center" vertical="center"/>
    </xf>
    <xf numFmtId="0" fontId="29" fillId="0" borderId="11" xfId="0" applyFont="1" applyBorder="1" applyAlignment="1">
      <alignment horizontal="center"/>
    </xf>
    <xf numFmtId="165" fontId="29" fillId="0" borderId="11" xfId="0" applyNumberFormat="1" applyFont="1" applyBorder="1" applyAlignment="1">
      <alignment horizontal="center"/>
    </xf>
    <xf numFmtId="2" fontId="29" fillId="0" borderId="11" xfId="0" applyNumberFormat="1" applyFont="1" applyBorder="1" applyAlignment="1">
      <alignment horizontal="center"/>
    </xf>
    <xf numFmtId="2" fontId="29" fillId="0" borderId="10" xfId="0" applyNumberFormat="1" applyFont="1" applyBorder="1" applyAlignment="1">
      <alignment horizontal="center"/>
    </xf>
    <xf numFmtId="0" fontId="63" fillId="0" borderId="11" xfId="0" applyFont="1" applyBorder="1" applyAlignment="1">
      <alignment horizontal="center"/>
    </xf>
    <xf numFmtId="165" fontId="29" fillId="0" borderId="11" xfId="0" applyNumberFormat="1" applyFont="1" applyBorder="1" applyAlignment="1">
      <alignment horizontal="center" wrapText="1"/>
    </xf>
    <xf numFmtId="0" fontId="29" fillId="0" borderId="16" xfId="0" applyFont="1" applyBorder="1" applyAlignment="1">
      <alignment horizontal="center"/>
    </xf>
    <xf numFmtId="165" fontId="29" fillId="0" borderId="16" xfId="0" applyNumberFormat="1" applyFont="1" applyBorder="1" applyAlignment="1">
      <alignment horizontal="center"/>
    </xf>
    <xf numFmtId="2" fontId="29" fillId="0" borderId="16" xfId="0" applyNumberFormat="1" applyFont="1" applyBorder="1" applyAlignment="1">
      <alignment horizontal="center"/>
    </xf>
    <xf numFmtId="0" fontId="29" fillId="0" borderId="16" xfId="0" applyFont="1" applyBorder="1" applyAlignment="1">
      <alignment horizontal="center" wrapText="1"/>
    </xf>
    <xf numFmtId="0" fontId="63" fillId="0" borderId="10" xfId="0" applyFont="1" applyBorder="1"/>
    <xf numFmtId="0" fontId="29" fillId="0" borderId="10" xfId="0" applyFont="1" applyBorder="1" applyAlignment="1">
      <alignment horizontal="center" wrapText="1"/>
    </xf>
    <xf numFmtId="0" fontId="63" fillId="0" borderId="11" xfId="0" applyFont="1" applyBorder="1"/>
    <xf numFmtId="0" fontId="29" fillId="0" borderId="11" xfId="0" applyFont="1" applyBorder="1" applyAlignment="1">
      <alignment horizontal="center" wrapText="1"/>
    </xf>
    <xf numFmtId="1" fontId="29" fillId="0" borderId="10" xfId="0" applyNumberFormat="1" applyFont="1" applyBorder="1" applyAlignment="1">
      <alignment horizontal="center"/>
    </xf>
    <xf numFmtId="0" fontId="29" fillId="0" borderId="10" xfId="0" applyFont="1" applyBorder="1"/>
    <xf numFmtId="0" fontId="58" fillId="0" borderId="0" xfId="0" applyFont="1" applyAlignment="1">
      <alignment horizontal="center" vertical="center" wrapText="1"/>
    </xf>
    <xf numFmtId="0" fontId="58" fillId="0" borderId="20" xfId="0" applyFont="1" applyBorder="1" applyAlignment="1">
      <alignment horizontal="center" vertical="center" wrapText="1"/>
    </xf>
    <xf numFmtId="0" fontId="58" fillId="0" borderId="0" xfId="0" applyFont="1" applyAlignment="1">
      <alignment horizontal="right" vertical="center" wrapText="1"/>
    </xf>
    <xf numFmtId="0" fontId="58" fillId="0" borderId="20" xfId="0" applyFont="1" applyBorder="1" applyAlignment="1">
      <alignment horizontal="right" vertical="center" wrapText="1"/>
    </xf>
    <xf numFmtId="0" fontId="58" fillId="0" borderId="13" xfId="0" applyFont="1" applyBorder="1" applyAlignment="1">
      <alignment horizontal="right" vertical="center"/>
    </xf>
    <xf numFmtId="0" fontId="58" fillId="0" borderId="20" xfId="0" applyFont="1" applyBorder="1" applyAlignment="1">
      <alignment horizontal="right" vertical="center"/>
    </xf>
    <xf numFmtId="0" fontId="0" fillId="0" borderId="17" xfId="0" applyBorder="1"/>
    <xf numFmtId="0" fontId="3" fillId="0" borderId="0" xfId="1" applyFill="1" applyBorder="1"/>
    <xf numFmtId="0" fontId="3" fillId="0" borderId="0" xfId="1" applyFont="1" applyAlignment="1">
      <alignment horizontal="center"/>
    </xf>
    <xf numFmtId="0" fontId="0" fillId="0" borderId="29" xfId="0" applyBorder="1"/>
    <xf numFmtId="0" fontId="57" fillId="0" borderId="31" xfId="0" applyFont="1" applyBorder="1" applyAlignment="1">
      <alignment horizontal="right" vertical="center" wrapText="1"/>
    </xf>
    <xf numFmtId="0" fontId="57" fillId="0" borderId="32" xfId="0" applyFont="1" applyBorder="1" applyAlignment="1">
      <alignment horizontal="right" vertical="center" wrapText="1"/>
    </xf>
    <xf numFmtId="0" fontId="3" fillId="0" borderId="32" xfId="1" applyBorder="1"/>
    <xf numFmtId="0" fontId="0" fillId="0" borderId="32" xfId="0" applyBorder="1"/>
    <xf numFmtId="0" fontId="32" fillId="0" borderId="32" xfId="0" applyFont="1" applyBorder="1" applyAlignment="1">
      <alignment horizontal="left" vertical="center" wrapText="1"/>
    </xf>
    <xf numFmtId="0" fontId="32" fillId="0" borderId="32" xfId="0" applyFont="1" applyBorder="1"/>
    <xf numFmtId="0" fontId="32" fillId="0" borderId="30" xfId="0" applyFont="1" applyBorder="1" applyAlignment="1">
      <alignment horizontal="left" vertical="center" wrapText="1"/>
    </xf>
    <xf numFmtId="0" fontId="32" fillId="0" borderId="31" xfId="0" applyFont="1" applyBorder="1" applyAlignment="1">
      <alignment horizontal="left" vertical="center" wrapText="1"/>
    </xf>
    <xf numFmtId="0" fontId="58" fillId="0" borderId="20" xfId="0" applyFont="1" applyBorder="1" applyAlignment="1">
      <alignment horizontal="left" vertical="center" wrapText="1"/>
    </xf>
    <xf numFmtId="0" fontId="58" fillId="0" borderId="10" xfId="0" applyFont="1" applyBorder="1" applyAlignment="1">
      <alignment horizontal="center"/>
    </xf>
    <xf numFmtId="0" fontId="58" fillId="0" borderId="11" xfId="0" applyFont="1" applyBorder="1" applyAlignment="1">
      <alignment horizontal="center"/>
    </xf>
    <xf numFmtId="0" fontId="58" fillId="0" borderId="14" xfId="0" applyFont="1" applyBorder="1" applyAlignment="1">
      <alignment horizontal="center"/>
    </xf>
    <xf numFmtId="0" fontId="58" fillId="0" borderId="12" xfId="0" applyFont="1" applyBorder="1" applyAlignment="1">
      <alignment horizontal="center"/>
    </xf>
    <xf numFmtId="0" fontId="58" fillId="0" borderId="10" xfId="0" applyFont="1" applyFill="1" applyBorder="1" applyAlignment="1">
      <alignment horizontal="center"/>
    </xf>
    <xf numFmtId="0" fontId="63" fillId="0" borderId="11" xfId="0" applyFont="1" applyBorder="1" applyAlignment="1">
      <alignment vertical="center"/>
    </xf>
    <xf numFmtId="0" fontId="3" fillId="0" borderId="12" xfId="1" applyBorder="1" applyAlignment="1">
      <alignment horizontal="center"/>
    </xf>
    <xf numFmtId="0" fontId="40" fillId="0" borderId="17" xfId="0" applyFont="1" applyBorder="1" applyAlignment="1">
      <alignment horizontal="left" vertical="center" wrapText="1"/>
    </xf>
    <xf numFmtId="0" fontId="32" fillId="0" borderId="20" xfId="0" applyFont="1" applyBorder="1" applyAlignment="1">
      <alignment horizontal="left" vertical="center" wrapText="1"/>
    </xf>
    <xf numFmtId="0" fontId="14" fillId="0" borderId="6" xfId="0" applyFont="1" applyBorder="1" applyAlignment="1">
      <alignment horizontal="center" vertical="top" wrapText="1"/>
    </xf>
    <xf numFmtId="0" fontId="14" fillId="0" borderId="5" xfId="0" applyFont="1" applyBorder="1" applyAlignment="1">
      <alignment horizontal="center" vertical="top" wrapText="1"/>
    </xf>
    <xf numFmtId="0" fontId="3" fillId="0" borderId="0" xfId="1" applyAlignment="1"/>
    <xf numFmtId="0" fontId="3" fillId="0" borderId="0" xfId="1" applyFont="1" applyAlignment="1">
      <alignment horizontal="left"/>
    </xf>
    <xf numFmtId="0" fontId="13" fillId="0" borderId="0" xfId="0" applyFont="1" applyFill="1" applyAlignment="1">
      <alignment horizontal="left"/>
    </xf>
    <xf numFmtId="0" fontId="13" fillId="0" borderId="0" xfId="0" applyFont="1" applyAlignment="1">
      <alignment horizontal="left"/>
    </xf>
    <xf numFmtId="0" fontId="3" fillId="0" borderId="0" xfId="1" applyFont="1" applyAlignment="1">
      <alignment horizontal="center"/>
    </xf>
  </cellXfs>
  <cellStyles count="3">
    <cellStyle name="Hyperlink" xfId="2" builtinId="8"/>
    <cellStyle name="Normal" xfId="0" builtinId="0"/>
    <cellStyle name="Normal 2" xfId="1"/>
  </cellStyles>
  <dxfs count="0"/>
  <tableStyles count="0" defaultTableStyle="TableStyleMedium9" defaultPivotStyle="PivotStyleLight16"/>
  <colors>
    <mruColors>
      <color rgb="FF0000CC"/>
      <color rgb="FF008080"/>
      <color rgb="FF996633"/>
      <color rgb="FF6600FF"/>
      <color rgb="FF3333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3a</a:t>
            </a:r>
            <a:r>
              <a:rPr lang="en-US" baseline="0"/>
              <a:t> Floor wash MHRW, 22°C</a:t>
            </a:r>
            <a:endParaRPr lang="en-US"/>
          </a:p>
        </c:rich>
      </c:tx>
      <c:layout>
        <c:manualLayout>
          <c:xMode val="edge"/>
          <c:yMode val="edge"/>
          <c:x val="0.31183042737774758"/>
          <c:y val="1.31578947368421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539370078740152E-2"/>
          <c:y val="0.13278044207058823"/>
          <c:w val="0.84778696412948384"/>
          <c:h val="0.82784007928890302"/>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numFmt formatCode="0.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'3a'!$P$18:$P$19</c:f>
              <c:numCache>
                <c:formatCode>#,##0</c:formatCode>
                <c:ptCount val="2"/>
                <c:pt idx="0">
                  <c:v>0</c:v>
                </c:pt>
                <c:pt idx="1">
                  <c:v>8571.4285714285725</c:v>
                </c:pt>
              </c:numCache>
            </c:numRef>
          </c:xVal>
          <c:yVal>
            <c:numRef>
              <c:f>'3a'!$J$18:$J$19</c:f>
              <c:numCache>
                <c:formatCode>General</c:formatCode>
                <c:ptCount val="2"/>
                <c:pt idx="0">
                  <c:v>0</c:v>
                </c:pt>
                <c:pt idx="1">
                  <c:v>2.9</c:v>
                </c:pt>
              </c:numCache>
            </c:numRef>
          </c:yVal>
          <c:smooth val="0"/>
          <c:extLst>
            <c:ext xmlns:c16="http://schemas.microsoft.com/office/drawing/2014/chart" uri="{C3380CC4-5D6E-409C-BE32-E72D297353CC}">
              <c16:uniqueId val="{00000000-0DFC-42AD-A3D6-3489565DDA48}"/>
            </c:ext>
          </c:extLst>
        </c:ser>
        <c:dLbls>
          <c:showLegendKey val="0"/>
          <c:showVal val="0"/>
          <c:showCatName val="0"/>
          <c:showSerName val="0"/>
          <c:showPercent val="0"/>
          <c:showBubbleSize val="0"/>
        </c:dLbls>
        <c:axId val="628269072"/>
        <c:axId val="628269464"/>
      </c:scatterChart>
      <c:valAx>
        <c:axId val="628269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8269464"/>
        <c:crosses val="autoZero"/>
        <c:crossBetween val="midCat"/>
      </c:valAx>
      <c:valAx>
        <c:axId val="628269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82690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u="none" strike="noStrike" baseline="0">
                <a:solidFill>
                  <a:srgbClr val="0000CC"/>
                </a:solidFill>
                <a:effectLst/>
              </a:rPr>
              <a:t>18a Washwater from PPE with 1% Alconox</a:t>
            </a:r>
            <a:r>
              <a:rPr lang="en-US" sz="1100" b="0" i="0" u="none" strike="noStrike" baseline="0">
                <a:solidFill>
                  <a:srgbClr val="0000CC"/>
                </a:solidFill>
              </a:rPr>
              <a:t> </a:t>
            </a:r>
          </a:p>
          <a:p>
            <a:pPr>
              <a:defRPr/>
            </a:pPr>
            <a:r>
              <a:rPr lang="en-US" sz="1100" b="0" i="0" u="none" strike="noStrike" baseline="0">
                <a:solidFill>
                  <a:srgbClr val="0000CC"/>
                </a:solidFill>
              </a:rPr>
              <a:t>5°C, pH = 9.25</a:t>
            </a:r>
            <a:endParaRPr lang="en-US" sz="1100">
              <a:solidFill>
                <a:srgbClr val="0000CC"/>
              </a:solidFill>
            </a:endParaRPr>
          </a:p>
        </c:rich>
      </c:tx>
      <c:layout>
        <c:manualLayout>
          <c:xMode val="edge"/>
          <c:yMode val="edge"/>
          <c:x val="0.22765266841644793"/>
          <c:y val="3.579952603682615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5084835373634251E-2"/>
          <c:y val="0.14174467214410122"/>
          <c:w val="0.85324156810902918"/>
          <c:h val="0.78136119627436873"/>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0451460336644283"/>
                  <c:y val="-3.4103601033381961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'18a'!$P$19:$P$23</c:f>
              <c:numCache>
                <c:formatCode>#,##0</c:formatCode>
                <c:ptCount val="5"/>
                <c:pt idx="0">
                  <c:v>0</c:v>
                </c:pt>
                <c:pt idx="1">
                  <c:v>8571.4285714285725</c:v>
                </c:pt>
                <c:pt idx="2">
                  <c:v>14285.714285714286</c:v>
                </c:pt>
                <c:pt idx="3">
                  <c:v>28571.428571428572</c:v>
                </c:pt>
                <c:pt idx="4">
                  <c:v>42857.142857142862</c:v>
                </c:pt>
              </c:numCache>
            </c:numRef>
          </c:xVal>
          <c:yVal>
            <c:numRef>
              <c:f>'18a'!$J$19:$J$23</c:f>
              <c:numCache>
                <c:formatCode>0.0</c:formatCode>
                <c:ptCount val="5"/>
                <c:pt idx="0">
                  <c:v>0</c:v>
                </c:pt>
                <c:pt idx="1">
                  <c:v>0.96781531662859877</c:v>
                </c:pt>
                <c:pt idx="2">
                  <c:v>2.6225816584725639</c:v>
                </c:pt>
                <c:pt idx="3">
                  <c:v>5.6368220975871743</c:v>
                </c:pt>
                <c:pt idx="4">
                  <c:v>6.1139433523068369</c:v>
                </c:pt>
              </c:numCache>
            </c:numRef>
          </c:yVal>
          <c:smooth val="0"/>
          <c:extLst>
            <c:ext xmlns:c16="http://schemas.microsoft.com/office/drawing/2014/chart" uri="{C3380CC4-5D6E-409C-BE32-E72D297353CC}">
              <c16:uniqueId val="{00000000-A978-487A-BBB5-FF3CA2ACD59F}"/>
            </c:ext>
          </c:extLst>
        </c:ser>
        <c:dLbls>
          <c:showLegendKey val="0"/>
          <c:showVal val="0"/>
          <c:showCatName val="0"/>
          <c:showSerName val="0"/>
          <c:showPercent val="0"/>
          <c:showBubbleSize val="0"/>
        </c:dLbls>
        <c:axId val="593591288"/>
        <c:axId val="593591680"/>
      </c:scatterChart>
      <c:valAx>
        <c:axId val="5935912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591680"/>
        <c:crosses val="autoZero"/>
        <c:crossBetween val="midCat"/>
      </c:valAx>
      <c:valAx>
        <c:axId val="593591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5912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18b Washwater from PPE with 1% Alconox </a:t>
            </a:r>
            <a:endParaRPr lang="en-US" sz="1100">
              <a:effectLst/>
            </a:endParaRPr>
          </a:p>
          <a:p>
            <a:pPr>
              <a:defRPr/>
            </a:pPr>
            <a:r>
              <a:rPr lang="en-US" sz="1100" b="0" i="0" kern="1200" spc="0" baseline="0">
                <a:solidFill>
                  <a:srgbClr val="0000CC"/>
                </a:solidFill>
                <a:effectLst/>
              </a:rPr>
              <a:t>5°C, pH = 9.1</a:t>
            </a:r>
            <a:endParaRPr lang="en-US" sz="1100">
              <a:effectLst/>
            </a:endParaRPr>
          </a:p>
        </c:rich>
      </c:tx>
      <c:layout>
        <c:manualLayout>
          <c:xMode val="edge"/>
          <c:yMode val="edge"/>
          <c:x val="0.22574814162215734"/>
          <c:y val="1.3432837399557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539370078740152E-2"/>
          <c:y val="0.1488841401908732"/>
          <c:w val="0.84778696412948384"/>
          <c:h val="0.7696310694125125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2908577396709566"/>
                  <c:y val="2.962485726154234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'18b'!$P$19:$P$22</c:f>
              <c:numCache>
                <c:formatCode>#,##0</c:formatCode>
                <c:ptCount val="4"/>
                <c:pt idx="0">
                  <c:v>0</c:v>
                </c:pt>
                <c:pt idx="1">
                  <c:v>8571.4285714285725</c:v>
                </c:pt>
                <c:pt idx="2">
                  <c:v>14285.714285714286</c:v>
                </c:pt>
                <c:pt idx="3">
                  <c:v>28571.428571428572</c:v>
                </c:pt>
              </c:numCache>
            </c:numRef>
          </c:xVal>
          <c:yVal>
            <c:numRef>
              <c:f>'18b'!$J$19:$J$22</c:f>
              <c:numCache>
                <c:formatCode>0.0</c:formatCode>
                <c:ptCount val="4"/>
                <c:pt idx="0">
                  <c:v>0</c:v>
                </c:pt>
                <c:pt idx="1">
                  <c:v>0.62641933718740717</c:v>
                </c:pt>
                <c:pt idx="2">
                  <c:v>2.5228787452803383</c:v>
                </c:pt>
                <c:pt idx="3">
                  <c:v>6.3424226808222066</c:v>
                </c:pt>
              </c:numCache>
            </c:numRef>
          </c:yVal>
          <c:smooth val="0"/>
          <c:extLst>
            <c:ext xmlns:c16="http://schemas.microsoft.com/office/drawing/2014/chart" uri="{C3380CC4-5D6E-409C-BE32-E72D297353CC}">
              <c16:uniqueId val="{00000000-0A7E-445E-A31E-DCDBC1496A9E}"/>
            </c:ext>
          </c:extLst>
        </c:ser>
        <c:dLbls>
          <c:showLegendKey val="0"/>
          <c:showVal val="0"/>
          <c:showCatName val="0"/>
          <c:showSerName val="0"/>
          <c:showPercent val="0"/>
          <c:showBubbleSize val="0"/>
        </c:dLbls>
        <c:axId val="639344904"/>
        <c:axId val="639345296"/>
      </c:scatterChart>
      <c:valAx>
        <c:axId val="6393449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345296"/>
        <c:crosses val="autoZero"/>
        <c:crossBetween val="midCat"/>
      </c:valAx>
      <c:valAx>
        <c:axId val="6393452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3449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18c Washwater from PPE with 1% Alconox </a:t>
            </a:r>
            <a:endParaRPr lang="en-US" sz="1100">
              <a:effectLst/>
            </a:endParaRPr>
          </a:p>
          <a:p>
            <a:pPr>
              <a:defRPr/>
            </a:pPr>
            <a:r>
              <a:rPr lang="en-US" sz="1100" b="0" i="0" kern="1200" spc="0" baseline="0">
                <a:solidFill>
                  <a:srgbClr val="0000CC"/>
                </a:solidFill>
                <a:effectLst/>
              </a:rPr>
              <a:t>6°C, pH = 9.25</a:t>
            </a:r>
            <a:endParaRPr lang="en-US" sz="1100">
              <a:effectLst/>
            </a:endParaRPr>
          </a:p>
        </c:rich>
      </c:tx>
      <c:layout>
        <c:manualLayout>
          <c:xMode val="edge"/>
          <c:yMode val="edge"/>
          <c:x val="0.22914085789608174"/>
          <c:y val="4.444445999806124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8853382470104755E-2"/>
          <c:y val="0.15794546209814947"/>
          <c:w val="0.83947284751852835"/>
          <c:h val="0.7611733197456935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23543228786036172"/>
                  <c:y val="9.6402483430440399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'18c'!$P$19:$P$22</c:f>
              <c:numCache>
                <c:formatCode>#,##0</c:formatCode>
                <c:ptCount val="4"/>
                <c:pt idx="0">
                  <c:v>0</c:v>
                </c:pt>
                <c:pt idx="1">
                  <c:v>8571.4285714285725</c:v>
                </c:pt>
                <c:pt idx="2">
                  <c:v>14285.714285714286</c:v>
                </c:pt>
                <c:pt idx="3">
                  <c:v>28571.428571428572</c:v>
                </c:pt>
              </c:numCache>
            </c:numRef>
          </c:xVal>
          <c:yVal>
            <c:numRef>
              <c:f>'18c'!$J$19:$J$22</c:f>
              <c:numCache>
                <c:formatCode>0.0</c:formatCode>
                <c:ptCount val="4"/>
                <c:pt idx="0">
                  <c:v>0</c:v>
                </c:pt>
                <c:pt idx="1">
                  <c:v>0.64461234201342599</c:v>
                </c:pt>
                <c:pt idx="2">
                  <c:v>2.8143634230380883</c:v>
                </c:pt>
                <c:pt idx="3">
                  <c:v>6.4771212547196626</c:v>
                </c:pt>
              </c:numCache>
            </c:numRef>
          </c:yVal>
          <c:smooth val="0"/>
          <c:extLst>
            <c:ext xmlns:c16="http://schemas.microsoft.com/office/drawing/2014/chart" uri="{C3380CC4-5D6E-409C-BE32-E72D297353CC}">
              <c16:uniqueId val="{00000000-6C57-4AB1-BE70-2A3CAFAF5A5F}"/>
            </c:ext>
          </c:extLst>
        </c:ser>
        <c:dLbls>
          <c:showLegendKey val="0"/>
          <c:showVal val="0"/>
          <c:showCatName val="0"/>
          <c:showSerName val="0"/>
          <c:showPercent val="0"/>
          <c:showBubbleSize val="0"/>
        </c:dLbls>
        <c:axId val="639346080"/>
        <c:axId val="639438632"/>
      </c:scatterChart>
      <c:valAx>
        <c:axId val="6393460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438632"/>
        <c:crosses val="autoZero"/>
        <c:crossBetween val="midCat"/>
      </c:valAx>
      <c:valAx>
        <c:axId val="6394386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3460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u="none" strike="noStrike" baseline="0">
                <a:solidFill>
                  <a:srgbClr val="0000CC"/>
                </a:solidFill>
                <a:effectLst/>
              </a:rPr>
              <a:t>22a Rusty Iron with no Detergent, 5°C, pH=11</a:t>
            </a:r>
            <a:endParaRPr lang="en-US" sz="1100">
              <a:solidFill>
                <a:srgbClr val="0000CC"/>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8739912739397908E-2"/>
          <c:y val="0.12500924161102081"/>
          <c:w val="0.82591916674755905"/>
          <c:h val="0.7983664478628919"/>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3440183914062663"/>
                  <c:y val="0.1287748458432974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'22a'!$P$19:$P$24</c:f>
              <c:numCache>
                <c:formatCode>#,##0</c:formatCode>
                <c:ptCount val="6"/>
                <c:pt idx="0">
                  <c:v>0</c:v>
                </c:pt>
                <c:pt idx="1">
                  <c:v>8571.4285714285725</c:v>
                </c:pt>
                <c:pt idx="2">
                  <c:v>14285.714285714286</c:v>
                </c:pt>
                <c:pt idx="3">
                  <c:v>28571.428571428572</c:v>
                </c:pt>
                <c:pt idx="4">
                  <c:v>42857.142857142862</c:v>
                </c:pt>
                <c:pt idx="5">
                  <c:v>85714.285714285725</c:v>
                </c:pt>
              </c:numCache>
            </c:numRef>
          </c:xVal>
          <c:yVal>
            <c:numRef>
              <c:f>'22a'!$J$19:$J$24</c:f>
              <c:numCache>
                <c:formatCode>0.0</c:formatCode>
                <c:ptCount val="6"/>
                <c:pt idx="0">
                  <c:v>0</c:v>
                </c:pt>
                <c:pt idx="1">
                  <c:v>0.18563657696191171</c:v>
                </c:pt>
                <c:pt idx="2">
                  <c:v>0.13127891463931896</c:v>
                </c:pt>
                <c:pt idx="3">
                  <c:v>0.36172783601759306</c:v>
                </c:pt>
                <c:pt idx="4">
                  <c:v>0.37945660297802508</c:v>
                </c:pt>
                <c:pt idx="5">
                  <c:v>1.131278914639319</c:v>
                </c:pt>
              </c:numCache>
            </c:numRef>
          </c:yVal>
          <c:smooth val="0"/>
          <c:extLst>
            <c:ext xmlns:c16="http://schemas.microsoft.com/office/drawing/2014/chart" uri="{C3380CC4-5D6E-409C-BE32-E72D297353CC}">
              <c16:uniqueId val="{00000000-F7E5-4308-B869-C7E0B5F408C8}"/>
            </c:ext>
          </c:extLst>
        </c:ser>
        <c:dLbls>
          <c:showLegendKey val="0"/>
          <c:showVal val="0"/>
          <c:showCatName val="0"/>
          <c:showSerName val="0"/>
          <c:showPercent val="0"/>
          <c:showBubbleSize val="0"/>
        </c:dLbls>
        <c:axId val="639439416"/>
        <c:axId val="639439808"/>
      </c:scatterChart>
      <c:valAx>
        <c:axId val="6394394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439808"/>
        <c:crosses val="autoZero"/>
        <c:crossBetween val="midCat"/>
      </c:valAx>
      <c:valAx>
        <c:axId val="6394398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439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22b Rusty Iron with no Detergent, 5°C, pH=10.88</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539370078740152E-2"/>
          <c:y val="0.13278044207058823"/>
          <c:w val="0.84778696412948384"/>
          <c:h val="0.82784007928890302"/>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30468903716987222"/>
                  <c:y val="1.0782580748834966E-2"/>
                </c:manualLayout>
              </c:layout>
              <c:numFmt formatCode="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'22b'!$P$19:$P$24</c:f>
              <c:numCache>
                <c:formatCode>#,##0</c:formatCode>
                <c:ptCount val="6"/>
                <c:pt idx="0">
                  <c:v>0</c:v>
                </c:pt>
                <c:pt idx="1">
                  <c:v>8571.4285714285725</c:v>
                </c:pt>
                <c:pt idx="2">
                  <c:v>14285.714285714286</c:v>
                </c:pt>
                <c:pt idx="3">
                  <c:v>28571.428571428572</c:v>
                </c:pt>
                <c:pt idx="4">
                  <c:v>42857.142857142862</c:v>
                </c:pt>
                <c:pt idx="5">
                  <c:v>85714.285714285725</c:v>
                </c:pt>
              </c:numCache>
            </c:numRef>
          </c:xVal>
          <c:yVal>
            <c:numRef>
              <c:f>'22b'!$J$19:$J$24</c:f>
              <c:numCache>
                <c:formatCode>0.0</c:formatCode>
                <c:ptCount val="6"/>
                <c:pt idx="0">
                  <c:v>0</c:v>
                </c:pt>
                <c:pt idx="1">
                  <c:v>0.16010315367155137</c:v>
                </c:pt>
                <c:pt idx="2">
                  <c:v>0.14468279480405766</c:v>
                </c:pt>
                <c:pt idx="3">
                  <c:v>0.22792289732854965</c:v>
                </c:pt>
                <c:pt idx="4">
                  <c:v>0.38021124171160636</c:v>
                </c:pt>
                <c:pt idx="5">
                  <c:v>0.68124123737558762</c:v>
                </c:pt>
              </c:numCache>
            </c:numRef>
          </c:yVal>
          <c:smooth val="0"/>
          <c:extLst>
            <c:ext xmlns:c16="http://schemas.microsoft.com/office/drawing/2014/chart" uri="{C3380CC4-5D6E-409C-BE32-E72D297353CC}">
              <c16:uniqueId val="{00000000-30CF-400D-BF61-89FEA0575C9A}"/>
            </c:ext>
          </c:extLst>
        </c:ser>
        <c:dLbls>
          <c:showLegendKey val="0"/>
          <c:showVal val="0"/>
          <c:showCatName val="0"/>
          <c:showSerName val="0"/>
          <c:showPercent val="0"/>
          <c:showBubbleSize val="0"/>
        </c:dLbls>
        <c:axId val="638104224"/>
        <c:axId val="638104616"/>
      </c:scatterChart>
      <c:valAx>
        <c:axId val="6381042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104616"/>
        <c:crosses val="autoZero"/>
        <c:crossBetween val="midCat"/>
      </c:valAx>
      <c:valAx>
        <c:axId val="638104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1042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22c Rusty Iron with no Detergent, 4°C, pH=10.88</a:t>
            </a:r>
            <a:endParaRPr lang="en-US" sz="11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539370078740152E-2"/>
          <c:y val="0.13278044207058823"/>
          <c:w val="0.84778696412948384"/>
          <c:h val="0.82784007928890302"/>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30207404713466335"/>
                  <c:y val="2.3017065976824673E-2"/>
                </c:manualLayout>
              </c:layout>
              <c:numFmt formatCode="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'22c'!$P$19:$P$24</c:f>
              <c:numCache>
                <c:formatCode>#,##0</c:formatCode>
                <c:ptCount val="6"/>
                <c:pt idx="0">
                  <c:v>0</c:v>
                </c:pt>
                <c:pt idx="1">
                  <c:v>8571.4285714285725</c:v>
                </c:pt>
                <c:pt idx="2">
                  <c:v>14285.714285714286</c:v>
                </c:pt>
                <c:pt idx="3">
                  <c:v>28571.428571428572</c:v>
                </c:pt>
                <c:pt idx="4">
                  <c:v>42857.142857142862</c:v>
                </c:pt>
                <c:pt idx="5">
                  <c:v>85714.285714285725</c:v>
                </c:pt>
              </c:numCache>
            </c:numRef>
          </c:xVal>
          <c:yVal>
            <c:numRef>
              <c:f>'22c'!$J$19:$J$24</c:f>
              <c:numCache>
                <c:formatCode>0.0</c:formatCode>
                <c:ptCount val="6"/>
                <c:pt idx="0">
                  <c:v>0</c:v>
                </c:pt>
                <c:pt idx="1">
                  <c:v>0.17069622716897559</c:v>
                </c:pt>
                <c:pt idx="2">
                  <c:v>0.16010315367155137</c:v>
                </c:pt>
                <c:pt idx="3">
                  <c:v>0.18155415475718328</c:v>
                </c:pt>
                <c:pt idx="4">
                  <c:v>0.42596873227228116</c:v>
                </c:pt>
                <c:pt idx="5">
                  <c:v>0.75696195131370558</c:v>
                </c:pt>
              </c:numCache>
            </c:numRef>
          </c:yVal>
          <c:smooth val="0"/>
          <c:extLst>
            <c:ext xmlns:c16="http://schemas.microsoft.com/office/drawing/2014/chart" uri="{C3380CC4-5D6E-409C-BE32-E72D297353CC}">
              <c16:uniqueId val="{00000000-CE3E-4E3C-90CE-0BFFB8E7780A}"/>
            </c:ext>
          </c:extLst>
        </c:ser>
        <c:dLbls>
          <c:showLegendKey val="0"/>
          <c:showVal val="0"/>
          <c:showCatName val="0"/>
          <c:showSerName val="0"/>
          <c:showPercent val="0"/>
          <c:showBubbleSize val="0"/>
        </c:dLbls>
        <c:axId val="638105792"/>
        <c:axId val="639377288"/>
      </c:scatterChart>
      <c:valAx>
        <c:axId val="6381057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377288"/>
        <c:crosses val="autoZero"/>
        <c:crossBetween val="midCat"/>
      </c:valAx>
      <c:valAx>
        <c:axId val="6393772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1057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baseline="0">
                <a:effectLst/>
              </a:rPr>
              <a:t>11a Rusty Iron with no Detergent, 22 °C, pH=10.58</a:t>
            </a:r>
            <a:endParaRPr lang="en-US" sz="1100">
              <a:effectLst/>
            </a:endParaRPr>
          </a:p>
        </c:rich>
      </c:tx>
      <c:layout>
        <c:manualLayout>
          <c:xMode val="edge"/>
          <c:yMode val="edge"/>
          <c:x val="0.1558615610262997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539370078740152E-2"/>
          <c:y val="0.13278044207058823"/>
          <c:w val="0.84778696412948384"/>
          <c:h val="0.82784007928890302"/>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33600613925260958"/>
                  <c:y val="-3.6671556730682148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'11a'!$P$19:$P$24</c:f>
              <c:numCache>
                <c:formatCode>#,##0</c:formatCode>
                <c:ptCount val="6"/>
                <c:pt idx="0">
                  <c:v>0</c:v>
                </c:pt>
                <c:pt idx="1">
                  <c:v>8571.4285714285725</c:v>
                </c:pt>
                <c:pt idx="2">
                  <c:v>14285.714285714286</c:v>
                </c:pt>
                <c:pt idx="3">
                  <c:v>28571.428571428572</c:v>
                </c:pt>
                <c:pt idx="4">
                  <c:v>42857.142857142862</c:v>
                </c:pt>
                <c:pt idx="5">
                  <c:v>85714.285714285725</c:v>
                </c:pt>
              </c:numCache>
            </c:numRef>
          </c:xVal>
          <c:yVal>
            <c:numRef>
              <c:f>'11a'!$J$19:$J$24</c:f>
              <c:numCache>
                <c:formatCode>0.0</c:formatCode>
                <c:ptCount val="6"/>
                <c:pt idx="0">
                  <c:v>0</c:v>
                </c:pt>
                <c:pt idx="1">
                  <c:v>0.2025435944209697</c:v>
                </c:pt>
                <c:pt idx="2">
                  <c:v>0.25606285014745822</c:v>
                </c:pt>
                <c:pt idx="3">
                  <c:v>0.69897000433601875</c:v>
                </c:pt>
                <c:pt idx="4">
                  <c:v>2.5500309913239523</c:v>
                </c:pt>
                <c:pt idx="5">
                  <c:v>4.4393326938302629</c:v>
                </c:pt>
              </c:numCache>
            </c:numRef>
          </c:yVal>
          <c:smooth val="0"/>
          <c:extLst>
            <c:ext xmlns:c16="http://schemas.microsoft.com/office/drawing/2014/chart" uri="{C3380CC4-5D6E-409C-BE32-E72D297353CC}">
              <c16:uniqueId val="{00000000-AC3B-4110-BC3E-FDDD97E59C52}"/>
            </c:ext>
          </c:extLst>
        </c:ser>
        <c:dLbls>
          <c:showLegendKey val="0"/>
          <c:showVal val="0"/>
          <c:showCatName val="0"/>
          <c:showSerName val="0"/>
          <c:showPercent val="0"/>
          <c:showBubbleSize val="0"/>
        </c:dLbls>
        <c:axId val="639378072"/>
        <c:axId val="639378464"/>
      </c:scatterChart>
      <c:valAx>
        <c:axId val="639378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378464"/>
        <c:crosses val="autoZero"/>
        <c:crossBetween val="midCat"/>
      </c:valAx>
      <c:valAx>
        <c:axId val="6393784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3780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595959"/>
                </a:solidFill>
                <a:effectLst/>
              </a:rPr>
              <a:t>11b Rusty Iron with no Detergent, 22 °C, pH=10.76</a:t>
            </a:r>
            <a:endParaRPr lang="en-US" sz="1100"/>
          </a:p>
        </c:rich>
      </c:tx>
      <c:layout>
        <c:manualLayout>
          <c:xMode val="edge"/>
          <c:yMode val="edge"/>
          <c:x val="0.17931851970820822"/>
          <c:y val="1.643835793747793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539370078740152E-2"/>
          <c:y val="0.13278044207058823"/>
          <c:w val="0.84778696412948384"/>
          <c:h val="0.82784007928890302"/>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37703103249848391"/>
                  <c:y val="2.934020379033586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'11b'!$P$19:$P$24</c:f>
              <c:numCache>
                <c:formatCode>#,##0</c:formatCode>
                <c:ptCount val="6"/>
                <c:pt idx="0">
                  <c:v>0</c:v>
                </c:pt>
                <c:pt idx="1">
                  <c:v>8571.4285714285725</c:v>
                </c:pt>
                <c:pt idx="2">
                  <c:v>14285.714285714286</c:v>
                </c:pt>
                <c:pt idx="3">
                  <c:v>28571.428571428572</c:v>
                </c:pt>
                <c:pt idx="4">
                  <c:v>42857.142857142862</c:v>
                </c:pt>
                <c:pt idx="5">
                  <c:v>85714.285714285725</c:v>
                </c:pt>
              </c:numCache>
            </c:numRef>
          </c:xVal>
          <c:yVal>
            <c:numRef>
              <c:f>'11b'!$J$19:$J$24</c:f>
              <c:numCache>
                <c:formatCode>0.0</c:formatCode>
                <c:ptCount val="6"/>
                <c:pt idx="0">
                  <c:v>0</c:v>
                </c:pt>
                <c:pt idx="1">
                  <c:v>9.0569834977037189E-2</c:v>
                </c:pt>
                <c:pt idx="2">
                  <c:v>0.38535088136401718</c:v>
                </c:pt>
                <c:pt idx="3">
                  <c:v>0.88802624055606749</c:v>
                </c:pt>
                <c:pt idx="4">
                  <c:v>2.4670209278153363</c:v>
                </c:pt>
                <c:pt idx="5">
                  <c:v>4.3273589343863303</c:v>
                </c:pt>
              </c:numCache>
            </c:numRef>
          </c:yVal>
          <c:smooth val="0"/>
          <c:extLst>
            <c:ext xmlns:c16="http://schemas.microsoft.com/office/drawing/2014/chart" uri="{C3380CC4-5D6E-409C-BE32-E72D297353CC}">
              <c16:uniqueId val="{00000000-AF7C-4A03-9ED8-DBDCD65BCA93}"/>
            </c:ext>
          </c:extLst>
        </c:ser>
        <c:dLbls>
          <c:showLegendKey val="0"/>
          <c:showVal val="0"/>
          <c:showCatName val="0"/>
          <c:showSerName val="0"/>
          <c:showPercent val="0"/>
          <c:showBubbleSize val="0"/>
        </c:dLbls>
        <c:axId val="639401680"/>
        <c:axId val="639402072"/>
      </c:scatterChart>
      <c:valAx>
        <c:axId val="6394016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402072"/>
        <c:crosses val="autoZero"/>
        <c:crossBetween val="midCat"/>
      </c:valAx>
      <c:valAx>
        <c:axId val="639402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4016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595959"/>
                </a:solidFill>
                <a:effectLst/>
              </a:rPr>
              <a:t>11c Rusty Iron with no Detergent, 22 °C, pH=10.68</a:t>
            </a:r>
            <a:endParaRPr lang="en-US" sz="1100" baseline="0">
              <a:effectLst/>
            </a:endParaRPr>
          </a:p>
        </c:rich>
      </c:tx>
      <c:layout>
        <c:manualLayout>
          <c:xMode val="edge"/>
          <c:yMode val="edge"/>
          <c:x val="0.17636968880202808"/>
          <c:y val="4.0404040404040404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957925285326882E-2"/>
          <c:y val="7.8429650839099654E-2"/>
          <c:w val="0.84778696412948384"/>
          <c:h val="0.82784007928890302"/>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37938592780706304"/>
                  <c:y val="-0.1134974946313529"/>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'11c'!$P$19:$P$23</c:f>
              <c:numCache>
                <c:formatCode>#,##0</c:formatCode>
                <c:ptCount val="5"/>
                <c:pt idx="0">
                  <c:v>0</c:v>
                </c:pt>
                <c:pt idx="1">
                  <c:v>8571.4285714285725</c:v>
                </c:pt>
                <c:pt idx="2">
                  <c:v>14285.714285714286</c:v>
                </c:pt>
                <c:pt idx="3">
                  <c:v>28571.428571428572</c:v>
                </c:pt>
                <c:pt idx="4">
                  <c:v>42857.142857142862</c:v>
                </c:pt>
              </c:numCache>
            </c:numRef>
          </c:xVal>
          <c:yVal>
            <c:numRef>
              <c:f>'11c'!$J$19:$J$23</c:f>
              <c:numCache>
                <c:formatCode>0.0</c:formatCode>
                <c:ptCount val="5"/>
                <c:pt idx="0">
                  <c:v>0</c:v>
                </c:pt>
                <c:pt idx="1">
                  <c:v>0.34678748622465605</c:v>
                </c:pt>
                <c:pt idx="2">
                  <c:v>0.61464911863598282</c:v>
                </c:pt>
                <c:pt idx="3">
                  <c:v>0.78440019966064511</c:v>
                </c:pt>
                <c:pt idx="4">
                  <c:v>2.2540334329877574</c:v>
                </c:pt>
              </c:numCache>
            </c:numRef>
          </c:yVal>
          <c:smooth val="0"/>
          <c:extLst>
            <c:ext xmlns:c16="http://schemas.microsoft.com/office/drawing/2014/chart" uri="{C3380CC4-5D6E-409C-BE32-E72D297353CC}">
              <c16:uniqueId val="{00000000-74D9-4700-8AB0-AD6B0246F2C1}"/>
            </c:ext>
          </c:extLst>
        </c:ser>
        <c:dLbls>
          <c:showLegendKey val="0"/>
          <c:showVal val="0"/>
          <c:showCatName val="0"/>
          <c:showSerName val="0"/>
          <c:showPercent val="0"/>
          <c:showBubbleSize val="0"/>
        </c:dLbls>
        <c:axId val="639402464"/>
        <c:axId val="639402856"/>
      </c:scatterChart>
      <c:valAx>
        <c:axId val="6394024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402856"/>
        <c:crosses val="autoZero"/>
        <c:crossBetween val="midCat"/>
      </c:valAx>
      <c:valAx>
        <c:axId val="6394028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4024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21a Washwater from car wash/1% Dawn </a:t>
            </a:r>
            <a:endParaRPr lang="en-US" sz="1100">
              <a:effectLst/>
            </a:endParaRPr>
          </a:p>
          <a:p>
            <a:pPr>
              <a:defRPr/>
            </a:pPr>
            <a:r>
              <a:rPr lang="en-US" sz="1100" b="0" i="0" kern="1200" spc="0" baseline="0">
                <a:solidFill>
                  <a:srgbClr val="0000CC"/>
                </a:solidFill>
                <a:effectLst/>
              </a:rPr>
              <a:t>4°C, pH = 9.86</a:t>
            </a:r>
            <a:endParaRPr lang="en-US" sz="1100">
              <a:effectLst/>
            </a:endParaRPr>
          </a:p>
        </c:rich>
      </c:tx>
      <c:layout>
        <c:manualLayout>
          <c:xMode val="edge"/>
          <c:yMode val="edge"/>
          <c:x val="0.2251073257939989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539370078740152E-2"/>
          <c:y val="0.12613952157891126"/>
          <c:w val="0.84778696412948384"/>
          <c:h val="0.79907304457902906"/>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551762094600353"/>
                  <c:y val="-0.13984387437984008"/>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'21a'!$P$19:$P$25</c:f>
              <c:numCache>
                <c:formatCode>#,##0</c:formatCode>
                <c:ptCount val="7"/>
                <c:pt idx="0">
                  <c:v>0</c:v>
                </c:pt>
                <c:pt idx="1">
                  <c:v>8571.4285714285725</c:v>
                </c:pt>
                <c:pt idx="2">
                  <c:v>14285.714285714286</c:v>
                </c:pt>
                <c:pt idx="3">
                  <c:v>28571.428571428572</c:v>
                </c:pt>
                <c:pt idx="4">
                  <c:v>42857.142857142862</c:v>
                </c:pt>
                <c:pt idx="5">
                  <c:v>85714.285714285725</c:v>
                </c:pt>
                <c:pt idx="6">
                  <c:v>171428.57142857145</c:v>
                </c:pt>
              </c:numCache>
            </c:numRef>
          </c:xVal>
          <c:yVal>
            <c:numRef>
              <c:f>'21a'!$J$19:$J$25</c:f>
              <c:numCache>
                <c:formatCode>0.0</c:formatCode>
                <c:ptCount val="7"/>
                <c:pt idx="0">
                  <c:v>0</c:v>
                </c:pt>
                <c:pt idx="1">
                  <c:v>0.15970084286751174</c:v>
                </c:pt>
                <c:pt idx="2">
                  <c:v>0.18089014193745001</c:v>
                </c:pt>
                <c:pt idx="3">
                  <c:v>0.14612803567823818</c:v>
                </c:pt>
                <c:pt idx="4">
                  <c:v>0.13296658962026786</c:v>
                </c:pt>
                <c:pt idx="5">
                  <c:v>0.61661871149888725</c:v>
                </c:pt>
                <c:pt idx="6">
                  <c:v>4.5611013836490564</c:v>
                </c:pt>
              </c:numCache>
            </c:numRef>
          </c:yVal>
          <c:smooth val="0"/>
          <c:extLst>
            <c:ext xmlns:c16="http://schemas.microsoft.com/office/drawing/2014/chart" uri="{C3380CC4-5D6E-409C-BE32-E72D297353CC}">
              <c16:uniqueId val="{00000000-5230-4813-835D-CB368DDD3EA1}"/>
            </c:ext>
          </c:extLst>
        </c:ser>
        <c:dLbls>
          <c:showLegendKey val="0"/>
          <c:showVal val="0"/>
          <c:showCatName val="0"/>
          <c:showSerName val="0"/>
          <c:showPercent val="0"/>
          <c:showBubbleSize val="0"/>
        </c:dLbls>
        <c:axId val="640675176"/>
        <c:axId val="640675568"/>
      </c:scatterChart>
      <c:valAx>
        <c:axId val="6406751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675568"/>
        <c:crosses val="autoZero"/>
        <c:crossBetween val="midCat"/>
      </c:valAx>
      <c:valAx>
        <c:axId val="6406755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6751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3b Floor wash water MHEW 20 °C</a:t>
            </a:r>
          </a:p>
        </c:rich>
      </c:tx>
      <c:layout>
        <c:manualLayout>
          <c:xMode val="edge"/>
          <c:yMode val="edge"/>
          <c:x val="0.24674010567136889"/>
          <c:y val="8.45070328815534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539370078740152E-2"/>
          <c:y val="0.13278044207058823"/>
          <c:w val="0.84778696412948384"/>
          <c:h val="0.82784007928890302"/>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numFmt formatCode="0.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'3b'!$P$18:$P$20</c:f>
              <c:numCache>
                <c:formatCode>#,##0</c:formatCode>
                <c:ptCount val="3"/>
                <c:pt idx="0">
                  <c:v>0</c:v>
                </c:pt>
                <c:pt idx="1">
                  <c:v>8571.4285714285725</c:v>
                </c:pt>
                <c:pt idx="2">
                  <c:v>14285.714285714286</c:v>
                </c:pt>
              </c:numCache>
            </c:numRef>
          </c:xVal>
          <c:yVal>
            <c:numRef>
              <c:f>'3b'!$J$18:$J$20</c:f>
              <c:numCache>
                <c:formatCode>General</c:formatCode>
                <c:ptCount val="3"/>
                <c:pt idx="0">
                  <c:v>0</c:v>
                </c:pt>
                <c:pt idx="1">
                  <c:v>2.98</c:v>
                </c:pt>
                <c:pt idx="2">
                  <c:v>5.23</c:v>
                </c:pt>
              </c:numCache>
            </c:numRef>
          </c:yVal>
          <c:smooth val="0"/>
          <c:extLst>
            <c:ext xmlns:c16="http://schemas.microsoft.com/office/drawing/2014/chart" uri="{C3380CC4-5D6E-409C-BE32-E72D297353CC}">
              <c16:uniqueId val="{00000000-75BB-499B-9D3F-31AE02E5A4D1}"/>
            </c:ext>
          </c:extLst>
        </c:ser>
        <c:dLbls>
          <c:showLegendKey val="0"/>
          <c:showVal val="0"/>
          <c:showCatName val="0"/>
          <c:showSerName val="0"/>
          <c:showPercent val="0"/>
          <c:showBubbleSize val="0"/>
        </c:dLbls>
        <c:axId val="628270248"/>
        <c:axId val="593619800"/>
      </c:scatterChart>
      <c:valAx>
        <c:axId val="628270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619800"/>
        <c:crosses val="autoZero"/>
        <c:crossBetween val="midCat"/>
      </c:valAx>
      <c:valAx>
        <c:axId val="593619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8270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21b Washwater from car wash/1% Dawn </a:t>
            </a:r>
            <a:endParaRPr lang="en-US" sz="1100">
              <a:effectLst/>
            </a:endParaRPr>
          </a:p>
          <a:p>
            <a:pPr>
              <a:defRPr/>
            </a:pPr>
            <a:r>
              <a:rPr lang="en-US" sz="1100" b="0" i="0" kern="1200" spc="0" baseline="0">
                <a:solidFill>
                  <a:srgbClr val="0000CC"/>
                </a:solidFill>
                <a:effectLst/>
              </a:rPr>
              <a:t>4°C, pH = 10.27</a:t>
            </a:r>
            <a:endParaRPr lang="en-US" sz="1100">
              <a:effectLst/>
            </a:endParaRPr>
          </a:p>
        </c:rich>
      </c:tx>
      <c:layout>
        <c:manualLayout>
          <c:xMode val="edge"/>
          <c:yMode val="edge"/>
          <c:x val="0.2276456692913385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17147856517934E-2"/>
          <c:y val="0.13461582343429968"/>
          <c:w val="0.84500918635170619"/>
          <c:h val="0.7911055089524372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2836067366579176"/>
                  <c:y val="-0.20964204070128256"/>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'21b'!$P$19:$P$25</c:f>
              <c:numCache>
                <c:formatCode>#,##0</c:formatCode>
                <c:ptCount val="7"/>
                <c:pt idx="0">
                  <c:v>0</c:v>
                </c:pt>
                <c:pt idx="1">
                  <c:v>8571.4285714285725</c:v>
                </c:pt>
                <c:pt idx="2">
                  <c:v>14285.714285714286</c:v>
                </c:pt>
                <c:pt idx="3">
                  <c:v>28571.428571428572</c:v>
                </c:pt>
                <c:pt idx="4">
                  <c:v>42857.142857142862</c:v>
                </c:pt>
                <c:pt idx="5">
                  <c:v>85714.285714285725</c:v>
                </c:pt>
                <c:pt idx="6">
                  <c:v>171428.57142857145</c:v>
                </c:pt>
              </c:numCache>
            </c:numRef>
          </c:xVal>
          <c:yVal>
            <c:numRef>
              <c:f>'21b'!$J$19:$J$25</c:f>
              <c:numCache>
                <c:formatCode>0.00</c:formatCode>
                <c:ptCount val="7"/>
                <c:pt idx="0">
                  <c:v>0</c:v>
                </c:pt>
                <c:pt idx="1">
                  <c:v>0.20065945054641787</c:v>
                </c:pt>
                <c:pt idx="2">
                  <c:v>8.6186147616283293E-2</c:v>
                </c:pt>
                <c:pt idx="3">
                  <c:v>6.0480747381381761E-2</c:v>
                </c:pt>
                <c:pt idx="4">
                  <c:v>0.15490195998574308</c:v>
                </c:pt>
                <c:pt idx="5">
                  <c:v>0.49485002168009373</c:v>
                </c:pt>
                <c:pt idx="6">
                  <c:v>4.8239087409443187</c:v>
                </c:pt>
              </c:numCache>
            </c:numRef>
          </c:yVal>
          <c:smooth val="0"/>
          <c:extLst>
            <c:ext xmlns:c16="http://schemas.microsoft.com/office/drawing/2014/chart" uri="{C3380CC4-5D6E-409C-BE32-E72D297353CC}">
              <c16:uniqueId val="{00000000-1AD7-49BE-BA80-ECC870BD7E7A}"/>
            </c:ext>
          </c:extLst>
        </c:ser>
        <c:dLbls>
          <c:showLegendKey val="0"/>
          <c:showVal val="0"/>
          <c:showCatName val="0"/>
          <c:showSerName val="0"/>
          <c:showPercent val="0"/>
          <c:showBubbleSize val="0"/>
        </c:dLbls>
        <c:axId val="640676352"/>
        <c:axId val="640676744"/>
      </c:scatterChart>
      <c:valAx>
        <c:axId val="6406763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676744"/>
        <c:crosses val="autoZero"/>
        <c:crossBetween val="midCat"/>
      </c:valAx>
      <c:valAx>
        <c:axId val="6406767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6763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21c Washwater from car wash/1% Dawn </a:t>
            </a:r>
            <a:endParaRPr lang="en-US" sz="1100">
              <a:effectLst/>
            </a:endParaRPr>
          </a:p>
          <a:p>
            <a:pPr>
              <a:defRPr/>
            </a:pPr>
            <a:r>
              <a:rPr lang="en-US" sz="1100" b="0" i="0" kern="1200" spc="0" baseline="0">
                <a:solidFill>
                  <a:srgbClr val="0000CC"/>
                </a:solidFill>
                <a:effectLst/>
              </a:rPr>
              <a:t>3°C, pH = 10.26</a:t>
            </a:r>
            <a:endParaRPr lang="en-US" sz="1100">
              <a:effectLst/>
            </a:endParaRPr>
          </a:p>
        </c:rich>
      </c:tx>
      <c:layout>
        <c:manualLayout>
          <c:xMode val="edge"/>
          <c:yMode val="edge"/>
          <c:x val="0.2171152286602325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661569668255895E-2"/>
          <c:y val="0.13536692913385825"/>
          <c:w val="0.85066473672129683"/>
          <c:h val="0.79183999999999999"/>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3765172205251865"/>
                  <c:y val="-0.11140724409448818"/>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'21c'!$P$19:$P$25</c:f>
              <c:numCache>
                <c:formatCode>#,##0</c:formatCode>
                <c:ptCount val="7"/>
                <c:pt idx="0">
                  <c:v>0</c:v>
                </c:pt>
                <c:pt idx="1">
                  <c:v>8571.4285714285725</c:v>
                </c:pt>
                <c:pt idx="2">
                  <c:v>14285.714285714286</c:v>
                </c:pt>
                <c:pt idx="3">
                  <c:v>28571.428571428572</c:v>
                </c:pt>
                <c:pt idx="4">
                  <c:v>42857.142857142862</c:v>
                </c:pt>
                <c:pt idx="5">
                  <c:v>85714.285714285725</c:v>
                </c:pt>
                <c:pt idx="6">
                  <c:v>171428.57142857145</c:v>
                </c:pt>
              </c:numCache>
            </c:numRef>
          </c:xVal>
          <c:yVal>
            <c:numRef>
              <c:f>'21c'!$J$19:$J$25</c:f>
              <c:numCache>
                <c:formatCode>0.00</c:formatCode>
                <c:ptCount val="7"/>
                <c:pt idx="0">
                  <c:v>0</c:v>
                </c:pt>
                <c:pt idx="1">
                  <c:v>0.15970084286751174</c:v>
                </c:pt>
                <c:pt idx="2">
                  <c:v>7.2550667148611581E-2</c:v>
                </c:pt>
                <c:pt idx="3">
                  <c:v>0.11394335230683694</c:v>
                </c:pt>
                <c:pt idx="4">
                  <c:v>0.29439941676496861</c:v>
                </c:pt>
                <c:pt idx="5">
                  <c:v>0.51188336097887444</c:v>
                </c:pt>
                <c:pt idx="6">
                  <c:v>4.2846395794758116</c:v>
                </c:pt>
              </c:numCache>
            </c:numRef>
          </c:yVal>
          <c:smooth val="0"/>
          <c:extLst>
            <c:ext xmlns:c16="http://schemas.microsoft.com/office/drawing/2014/chart" uri="{C3380CC4-5D6E-409C-BE32-E72D297353CC}">
              <c16:uniqueId val="{00000000-4442-4FF2-9687-52C9A983C863}"/>
            </c:ext>
          </c:extLst>
        </c:ser>
        <c:dLbls>
          <c:showLegendKey val="0"/>
          <c:showVal val="0"/>
          <c:showCatName val="0"/>
          <c:showSerName val="0"/>
          <c:showPercent val="0"/>
          <c:showBubbleSize val="0"/>
        </c:dLbls>
        <c:axId val="637967720"/>
        <c:axId val="637968112"/>
      </c:scatterChart>
      <c:valAx>
        <c:axId val="6379677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968112"/>
        <c:crosses val="autoZero"/>
        <c:crossBetween val="midCat"/>
      </c:valAx>
      <c:valAx>
        <c:axId val="6379681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9677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21d Washwater from car wash/1% Dawn </a:t>
            </a:r>
            <a:endParaRPr lang="en-US" sz="1100">
              <a:effectLst/>
            </a:endParaRPr>
          </a:p>
          <a:p>
            <a:pPr>
              <a:defRPr/>
            </a:pPr>
            <a:r>
              <a:rPr lang="en-US" sz="1100" b="0" i="0" kern="1200" spc="0" baseline="0">
                <a:solidFill>
                  <a:srgbClr val="0000CC"/>
                </a:solidFill>
                <a:effectLst/>
              </a:rPr>
              <a:t>4°C, pH = 9.97</a:t>
            </a:r>
            <a:endParaRPr lang="en-US" sz="1100">
              <a:effectLst/>
            </a:endParaRPr>
          </a:p>
        </c:rich>
      </c:tx>
      <c:layout>
        <c:manualLayout>
          <c:xMode val="edge"/>
          <c:yMode val="edge"/>
          <c:x val="0.23459791378323672"/>
          <c:y val="1.30434827262864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539370078740152E-2"/>
          <c:y val="0.13278044207058823"/>
          <c:w val="0.84778696412948384"/>
          <c:h val="0.82784007928890302"/>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6181909458143175"/>
                  <c:y val="-9.1401948442981329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'21d'!$P$19:$P$24</c:f>
              <c:numCache>
                <c:formatCode>#,##0</c:formatCode>
                <c:ptCount val="6"/>
                <c:pt idx="0">
                  <c:v>0</c:v>
                </c:pt>
                <c:pt idx="1">
                  <c:v>13375.79617834395</c:v>
                </c:pt>
                <c:pt idx="2">
                  <c:v>26751.592356687899</c:v>
                </c:pt>
                <c:pt idx="3">
                  <c:v>40127.388535031845</c:v>
                </c:pt>
                <c:pt idx="4">
                  <c:v>80254.77707006369</c:v>
                </c:pt>
                <c:pt idx="5">
                  <c:v>160509.55414012738</c:v>
                </c:pt>
              </c:numCache>
            </c:numRef>
          </c:xVal>
          <c:yVal>
            <c:numRef>
              <c:f>'21d'!$J$19:$J$24</c:f>
              <c:numCache>
                <c:formatCode>0.00</c:formatCode>
                <c:ptCount val="6"/>
                <c:pt idx="0">
                  <c:v>0</c:v>
                </c:pt>
                <c:pt idx="1">
                  <c:v>-0.2527253160894265</c:v>
                </c:pt>
                <c:pt idx="2">
                  <c:v>-0.32330639037513365</c:v>
                </c:pt>
                <c:pt idx="3">
                  <c:v>0.10266234189714751</c:v>
                </c:pt>
                <c:pt idx="4">
                  <c:v>1.7873919071185558</c:v>
                </c:pt>
                <c:pt idx="5">
                  <c:v>4.2373609157946035</c:v>
                </c:pt>
              </c:numCache>
            </c:numRef>
          </c:yVal>
          <c:smooth val="0"/>
          <c:extLst>
            <c:ext xmlns:c16="http://schemas.microsoft.com/office/drawing/2014/chart" uri="{C3380CC4-5D6E-409C-BE32-E72D297353CC}">
              <c16:uniqueId val="{00000000-D0FB-4A55-A694-8C2C43C3AC3D}"/>
            </c:ext>
          </c:extLst>
        </c:ser>
        <c:dLbls>
          <c:showLegendKey val="0"/>
          <c:showVal val="0"/>
          <c:showCatName val="0"/>
          <c:showSerName val="0"/>
          <c:showPercent val="0"/>
          <c:showBubbleSize val="0"/>
        </c:dLbls>
        <c:axId val="637968896"/>
        <c:axId val="640652680"/>
      </c:scatterChart>
      <c:valAx>
        <c:axId val="6379688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652680"/>
        <c:crosses val="autoZero"/>
        <c:crossBetween val="midCat"/>
      </c:valAx>
      <c:valAx>
        <c:axId val="6406526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9688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21e Washwater from car wash/1% Dawn </a:t>
            </a:r>
            <a:endParaRPr lang="en-US" sz="1100">
              <a:effectLst/>
            </a:endParaRPr>
          </a:p>
          <a:p>
            <a:pPr>
              <a:defRPr/>
            </a:pPr>
            <a:r>
              <a:rPr lang="en-US" sz="1100" b="0" i="0" kern="1200" spc="0" baseline="0">
                <a:solidFill>
                  <a:srgbClr val="0000CC"/>
                </a:solidFill>
                <a:effectLst/>
              </a:rPr>
              <a:t>4°C, pH = 9.23</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767914347014702E-2"/>
          <c:y val="0.15910589747710108"/>
          <c:w val="0.8568770370603136"/>
          <c:h val="0.76661545878193793"/>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216866728465861"/>
                  <c:y val="-4.102972842680379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'21e'!$P$19:$P$23</c:f>
              <c:numCache>
                <c:formatCode>#,##0</c:formatCode>
                <c:ptCount val="5"/>
                <c:pt idx="0">
                  <c:v>0</c:v>
                </c:pt>
                <c:pt idx="1">
                  <c:v>13375.79617834395</c:v>
                </c:pt>
                <c:pt idx="2">
                  <c:v>26751.592356687899</c:v>
                </c:pt>
                <c:pt idx="3">
                  <c:v>40127.388535031845</c:v>
                </c:pt>
                <c:pt idx="4">
                  <c:v>80254.77707006369</c:v>
                </c:pt>
              </c:numCache>
            </c:numRef>
          </c:xVal>
          <c:yVal>
            <c:numRef>
              <c:f>'21e'!$J$19:$J$23</c:f>
              <c:numCache>
                <c:formatCode>0.00</c:formatCode>
                <c:ptCount val="5"/>
                <c:pt idx="0">
                  <c:v>0</c:v>
                </c:pt>
                <c:pt idx="1">
                  <c:v>0.13683795990800807</c:v>
                </c:pt>
                <c:pt idx="2">
                  <c:v>2.3921104650113136</c:v>
                </c:pt>
                <c:pt idx="3">
                  <c:v>3.8692317197309762</c:v>
                </c:pt>
                <c:pt idx="4">
                  <c:v>4.2671717284030137</c:v>
                </c:pt>
              </c:numCache>
            </c:numRef>
          </c:yVal>
          <c:smooth val="0"/>
          <c:extLst>
            <c:ext xmlns:c16="http://schemas.microsoft.com/office/drawing/2014/chart" uri="{C3380CC4-5D6E-409C-BE32-E72D297353CC}">
              <c16:uniqueId val="{00000000-ED81-45B5-94E1-1AC64D582ADD}"/>
            </c:ext>
          </c:extLst>
        </c:ser>
        <c:dLbls>
          <c:showLegendKey val="0"/>
          <c:showVal val="0"/>
          <c:showCatName val="0"/>
          <c:showSerName val="0"/>
          <c:showPercent val="0"/>
          <c:showBubbleSize val="0"/>
        </c:dLbls>
        <c:axId val="640653464"/>
        <c:axId val="640653856"/>
      </c:scatterChart>
      <c:valAx>
        <c:axId val="6406534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653856"/>
        <c:crosses val="autoZero"/>
        <c:crossBetween val="midCat"/>
      </c:valAx>
      <c:valAx>
        <c:axId val="640653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6534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21f Washwater from car wash/1% Dawn </a:t>
            </a:r>
            <a:endParaRPr lang="en-US" sz="1100">
              <a:effectLst/>
            </a:endParaRPr>
          </a:p>
          <a:p>
            <a:pPr>
              <a:defRPr/>
            </a:pPr>
            <a:r>
              <a:rPr lang="en-US" sz="1100" b="0" i="0" kern="1200" spc="0" baseline="0">
                <a:solidFill>
                  <a:srgbClr val="0000CC"/>
                </a:solidFill>
                <a:effectLst/>
              </a:rPr>
              <a:t>4°C, pH = 9.23</a:t>
            </a:r>
            <a:endParaRPr lang="en-US" sz="1100">
              <a:effectLst/>
            </a:endParaRPr>
          </a:p>
        </c:rich>
      </c:tx>
      <c:layout>
        <c:manualLayout>
          <c:xMode val="edge"/>
          <c:yMode val="edge"/>
          <c:x val="0.24398900166014259"/>
          <c:y val="3.797468732928210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200086149751384E-2"/>
          <c:y val="0.12963481806387103"/>
          <c:w val="0.84512612809663523"/>
          <c:h val="0.80125782928912881"/>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7.0179154609472619E-2"/>
                  <c:y val="-0.4584815567110093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'21f'!$P$20:$P$22</c:f>
              <c:numCache>
                <c:formatCode>#,##0</c:formatCode>
                <c:ptCount val="3"/>
                <c:pt idx="0">
                  <c:v>0</c:v>
                </c:pt>
                <c:pt idx="1">
                  <c:v>13375.79617834395</c:v>
                </c:pt>
                <c:pt idx="2">
                  <c:v>26751.592356687899</c:v>
                </c:pt>
              </c:numCache>
            </c:numRef>
          </c:xVal>
          <c:yVal>
            <c:numRef>
              <c:f>'21f'!$J$20:$J$22</c:f>
              <c:numCache>
                <c:formatCode>0.00</c:formatCode>
                <c:ptCount val="3"/>
                <c:pt idx="0">
                  <c:v>0</c:v>
                </c:pt>
                <c:pt idx="1">
                  <c:v>0.40840544235020282</c:v>
                </c:pt>
                <c:pt idx="2">
                  <c:v>2.7781512503836439</c:v>
                </c:pt>
              </c:numCache>
            </c:numRef>
          </c:yVal>
          <c:smooth val="0"/>
          <c:extLst>
            <c:ext xmlns:c16="http://schemas.microsoft.com/office/drawing/2014/chart" uri="{C3380CC4-5D6E-409C-BE32-E72D297353CC}">
              <c16:uniqueId val="{00000000-AE4C-467A-9693-1249925423A2}"/>
            </c:ext>
          </c:extLst>
        </c:ser>
        <c:dLbls>
          <c:showLegendKey val="0"/>
          <c:showVal val="0"/>
          <c:showCatName val="0"/>
          <c:showSerName val="0"/>
          <c:showPercent val="0"/>
          <c:showBubbleSize val="0"/>
        </c:dLbls>
        <c:axId val="640734352"/>
        <c:axId val="640734744"/>
      </c:scatterChart>
      <c:valAx>
        <c:axId val="640734352"/>
        <c:scaling>
          <c:orientation val="minMax"/>
          <c:max val="900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734744"/>
        <c:crosses val="autoZero"/>
        <c:crossBetween val="midCat"/>
      </c:valAx>
      <c:valAx>
        <c:axId val="64073474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7343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21g Washwater from car wash/1% Dawn </a:t>
            </a:r>
            <a:endParaRPr lang="en-US" sz="1100">
              <a:effectLst/>
            </a:endParaRPr>
          </a:p>
          <a:p>
            <a:pPr>
              <a:defRPr/>
            </a:pPr>
            <a:r>
              <a:rPr lang="en-US" sz="1100" b="0" i="0" kern="1200" spc="0" baseline="0">
                <a:solidFill>
                  <a:srgbClr val="0000CC"/>
                </a:solidFill>
                <a:effectLst/>
              </a:rPr>
              <a:t>4°C, pH = 9.24</a:t>
            </a:r>
            <a:endParaRPr lang="en-US" sz="1100">
              <a:effectLst/>
            </a:endParaRPr>
          </a:p>
        </c:rich>
      </c:tx>
      <c:layout>
        <c:manualLayout>
          <c:xMode val="edge"/>
          <c:yMode val="edge"/>
          <c:x val="0.2297021188359771"/>
          <c:y val="4.0133775036602318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083345610904666E-2"/>
          <c:y val="0.13123049206220291"/>
          <c:w val="0.84856308761820576"/>
          <c:h val="0.79573298967866746"/>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5024200457271324"/>
                  <c:y val="-6.682747564559284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'21g'!$P$19:$P$23</c:f>
              <c:numCache>
                <c:formatCode>#,##0</c:formatCode>
                <c:ptCount val="5"/>
                <c:pt idx="0">
                  <c:v>0</c:v>
                </c:pt>
                <c:pt idx="1">
                  <c:v>13375.79617834395</c:v>
                </c:pt>
                <c:pt idx="2">
                  <c:v>26751.592356687899</c:v>
                </c:pt>
                <c:pt idx="3">
                  <c:v>40127.388535031845</c:v>
                </c:pt>
                <c:pt idx="4">
                  <c:v>80254.77707006369</c:v>
                </c:pt>
              </c:numCache>
            </c:numRef>
          </c:xVal>
          <c:yVal>
            <c:numRef>
              <c:f>'21g'!$J$19:$J$23</c:f>
              <c:numCache>
                <c:formatCode>0.00</c:formatCode>
                <c:ptCount val="5"/>
                <c:pt idx="0">
                  <c:v>0</c:v>
                </c:pt>
                <c:pt idx="1">
                  <c:v>1.4240439114610481E-2</c:v>
                </c:pt>
                <c:pt idx="2">
                  <c:v>1.819263835898556</c:v>
                </c:pt>
                <c:pt idx="3">
                  <c:v>3.8381491800589296</c:v>
                </c:pt>
                <c:pt idx="4">
                  <c:v>6.0934216851622356</c:v>
                </c:pt>
              </c:numCache>
            </c:numRef>
          </c:yVal>
          <c:smooth val="0"/>
          <c:extLst>
            <c:ext xmlns:c16="http://schemas.microsoft.com/office/drawing/2014/chart" uri="{C3380CC4-5D6E-409C-BE32-E72D297353CC}">
              <c16:uniqueId val="{00000000-46D1-43EB-8508-32A6ACEB101B}"/>
            </c:ext>
          </c:extLst>
        </c:ser>
        <c:dLbls>
          <c:showLegendKey val="0"/>
          <c:showVal val="0"/>
          <c:showCatName val="0"/>
          <c:showSerName val="0"/>
          <c:showPercent val="0"/>
          <c:showBubbleSize val="0"/>
        </c:dLbls>
        <c:axId val="640735528"/>
        <c:axId val="640735920"/>
      </c:scatterChart>
      <c:valAx>
        <c:axId val="6407355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735920"/>
        <c:crosses val="autoZero"/>
        <c:crossBetween val="midCat"/>
      </c:valAx>
      <c:valAx>
        <c:axId val="6407359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7355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rgbClr val="0000CC"/>
                </a:solidFill>
              </a:rPr>
              <a:t>21h Washwater from</a:t>
            </a:r>
            <a:r>
              <a:rPr lang="en-US" sz="1100" baseline="0">
                <a:solidFill>
                  <a:srgbClr val="0000CC"/>
                </a:solidFill>
              </a:rPr>
              <a:t> carwash w/1% Dawn, 4°C, pH =10.15</a:t>
            </a:r>
            <a:endParaRPr lang="en-US" sz="1100">
              <a:solidFill>
                <a:srgbClr val="0000CC"/>
              </a:solidFill>
            </a:endParaRPr>
          </a:p>
        </c:rich>
      </c:tx>
      <c:layout>
        <c:manualLayout>
          <c:xMode val="edge"/>
          <c:yMode val="edge"/>
          <c:x val="0.14733632763366869"/>
          <c:y val="3.78115323820453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539370078740152E-2"/>
          <c:y val="0.13278044207058823"/>
          <c:w val="0.84778696412948384"/>
          <c:h val="0.82784007928890302"/>
        </c:manualLayout>
      </c:layout>
      <c:scatterChart>
        <c:scatterStyle val="lineMarker"/>
        <c:varyColors val="0"/>
        <c:ser>
          <c:idx val="0"/>
          <c:order val="0"/>
          <c:tx>
            <c:v>aaa</c:v>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9448264692964849"/>
                  <c:y val="-2.1499572089851874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'21h'!$P$19:$P$25</c:f>
              <c:numCache>
                <c:formatCode>#,##0</c:formatCode>
                <c:ptCount val="7"/>
                <c:pt idx="0">
                  <c:v>0</c:v>
                </c:pt>
                <c:pt idx="1">
                  <c:v>14376.675603217156</c:v>
                </c:pt>
                <c:pt idx="2">
                  <c:v>28753.351206434312</c:v>
                </c:pt>
                <c:pt idx="3">
                  <c:v>57506.702412868624</c:v>
                </c:pt>
                <c:pt idx="4">
                  <c:v>86260.05361930294</c:v>
                </c:pt>
                <c:pt idx="5">
                  <c:v>172520.10723860588</c:v>
                </c:pt>
                <c:pt idx="6">
                  <c:v>345040.21447721176</c:v>
                </c:pt>
              </c:numCache>
            </c:numRef>
          </c:xVal>
          <c:yVal>
            <c:numRef>
              <c:f>'21h'!$J$19:$J$25</c:f>
              <c:numCache>
                <c:formatCode>0.00</c:formatCode>
                <c:ptCount val="7"/>
                <c:pt idx="0">
                  <c:v>0</c:v>
                </c:pt>
                <c:pt idx="1">
                  <c:v>-5.7991946977686837E-2</c:v>
                </c:pt>
                <c:pt idx="2">
                  <c:v>0.10473535052001282</c:v>
                </c:pt>
                <c:pt idx="3">
                  <c:v>0.31682426284721377</c:v>
                </c:pt>
                <c:pt idx="4">
                  <c:v>0.92211322430537468</c:v>
                </c:pt>
                <c:pt idx="5">
                  <c:v>3.9286440914643319</c:v>
                </c:pt>
                <c:pt idx="6">
                  <c:v>7.0492180226701819</c:v>
                </c:pt>
              </c:numCache>
            </c:numRef>
          </c:yVal>
          <c:smooth val="0"/>
          <c:extLst>
            <c:ext xmlns:c16="http://schemas.microsoft.com/office/drawing/2014/chart" uri="{C3380CC4-5D6E-409C-BE32-E72D297353CC}">
              <c16:uniqueId val="{00000000-A8E2-41EF-AAE8-953E5E734D58}"/>
            </c:ext>
          </c:extLst>
        </c:ser>
        <c:dLbls>
          <c:showLegendKey val="0"/>
          <c:showVal val="0"/>
          <c:showCatName val="0"/>
          <c:showSerName val="0"/>
          <c:showPercent val="0"/>
          <c:showBubbleSize val="0"/>
        </c:dLbls>
        <c:axId val="640784528"/>
        <c:axId val="640784920"/>
      </c:scatterChart>
      <c:valAx>
        <c:axId val="640784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CT, mg/L∙min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784920"/>
        <c:crosses val="autoZero"/>
        <c:crossBetween val="midCat"/>
      </c:valAx>
      <c:valAx>
        <c:axId val="640784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7845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21j Washwater from carwash w/1% Dawn, 4°C, pH =8.05, (buffered w/ KH</a:t>
            </a:r>
            <a:r>
              <a:rPr lang="en-US" sz="1100" b="0" i="0" kern="1200" spc="0" baseline="-25000">
                <a:solidFill>
                  <a:srgbClr val="0000CC"/>
                </a:solidFill>
                <a:effectLst/>
              </a:rPr>
              <a:t>2</a:t>
            </a:r>
            <a:r>
              <a:rPr lang="en-US" sz="1100" b="0" i="0" kern="1200" spc="0" baseline="0">
                <a:solidFill>
                  <a:srgbClr val="0000CC"/>
                </a:solidFill>
                <a:effectLst/>
              </a:rPr>
              <a:t>PO</a:t>
            </a:r>
            <a:r>
              <a:rPr lang="en-US" sz="1100" b="0" i="0" kern="1200" spc="0" baseline="-25000">
                <a:solidFill>
                  <a:srgbClr val="0000CC"/>
                </a:solidFill>
                <a:effectLst/>
              </a:rPr>
              <a:t>4</a:t>
            </a:r>
            <a:r>
              <a:rPr lang="en-US" sz="1100" b="0" i="0" kern="1200" spc="0" baseline="0">
                <a:solidFill>
                  <a:srgbClr val="0000CC"/>
                </a:solidFill>
                <a:effectLst/>
              </a:rPr>
              <a:t>)</a:t>
            </a:r>
            <a:endParaRPr lang="en-US" sz="11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19616720365235"/>
          <c:y val="0.16867589383594309"/>
          <c:w val="0.84636429277739311"/>
          <c:h val="0.75144877248327602"/>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1045144356955385"/>
                  <c:y val="3.1411854768153981E-2"/>
                </c:manualLayout>
              </c:layout>
              <c:numFmt formatCode="#,##0.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'21j'!$P$19:$P$20</c:f>
              <c:numCache>
                <c:formatCode>#,##0</c:formatCode>
                <c:ptCount val="2"/>
                <c:pt idx="0">
                  <c:v>0</c:v>
                </c:pt>
                <c:pt idx="1">
                  <c:v>14186.507936507936</c:v>
                </c:pt>
              </c:numCache>
            </c:numRef>
          </c:xVal>
          <c:yVal>
            <c:numRef>
              <c:f>'21j'!$J$19:$J$20</c:f>
              <c:numCache>
                <c:formatCode>0.00</c:formatCode>
                <c:ptCount val="2"/>
                <c:pt idx="0">
                  <c:v>0</c:v>
                </c:pt>
                <c:pt idx="1">
                  <c:v>3.6856060427780375</c:v>
                </c:pt>
              </c:numCache>
            </c:numRef>
          </c:yVal>
          <c:smooth val="0"/>
          <c:extLst>
            <c:ext xmlns:c16="http://schemas.microsoft.com/office/drawing/2014/chart" uri="{C3380CC4-5D6E-409C-BE32-E72D297353CC}">
              <c16:uniqueId val="{00000000-0BF2-4EBC-B044-991EC372C232}"/>
            </c:ext>
          </c:extLst>
        </c:ser>
        <c:dLbls>
          <c:showLegendKey val="0"/>
          <c:showVal val="0"/>
          <c:showCatName val="0"/>
          <c:showSerName val="0"/>
          <c:showPercent val="0"/>
          <c:showBubbleSize val="0"/>
        </c:dLbls>
        <c:axId val="652899624"/>
        <c:axId val="652900016"/>
      </c:scatterChart>
      <c:valAx>
        <c:axId val="6528996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900016"/>
        <c:crosses val="autoZero"/>
        <c:crossBetween val="midCat"/>
      </c:valAx>
      <c:valAx>
        <c:axId val="6529000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8996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21j Washwater from carwash w/1% Dawn, 4°C, pH =7.00, (buffered w/ KH</a:t>
            </a:r>
            <a:r>
              <a:rPr lang="en-US" sz="1100" b="0" i="0" kern="1200" spc="0" baseline="-25000">
                <a:solidFill>
                  <a:srgbClr val="0000CC"/>
                </a:solidFill>
                <a:effectLst/>
              </a:rPr>
              <a:t>2</a:t>
            </a:r>
            <a:r>
              <a:rPr lang="en-US" sz="1100" b="0" i="0" kern="1200" spc="0" baseline="0">
                <a:solidFill>
                  <a:srgbClr val="0000CC"/>
                </a:solidFill>
                <a:effectLst/>
              </a:rPr>
              <a:t>PO</a:t>
            </a:r>
            <a:r>
              <a:rPr lang="en-US" sz="1100" b="0" i="0" kern="1200" spc="0" baseline="-25000">
                <a:solidFill>
                  <a:srgbClr val="0000CC"/>
                </a:solidFill>
                <a:effectLst/>
              </a:rPr>
              <a:t>4</a:t>
            </a:r>
            <a:r>
              <a:rPr lang="en-US" sz="1100" b="0" i="0" kern="1200" spc="0" baseline="0">
                <a:solidFill>
                  <a:srgbClr val="0000CC"/>
                </a:solidFill>
                <a:effectLst/>
              </a:rPr>
              <a:t>)</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1657186660611087"/>
                  <c:y val="1.3038059441885526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'21k'!$P$19:$P$21</c:f>
              <c:numCache>
                <c:formatCode>#,##0</c:formatCode>
                <c:ptCount val="3"/>
                <c:pt idx="0">
                  <c:v>0</c:v>
                </c:pt>
                <c:pt idx="1">
                  <c:v>14186.507936507936</c:v>
                </c:pt>
                <c:pt idx="2">
                  <c:v>28373.015873015873</c:v>
                </c:pt>
              </c:numCache>
            </c:numRef>
          </c:xVal>
          <c:yVal>
            <c:numRef>
              <c:f>'21k'!$J$19:$J$21</c:f>
              <c:numCache>
                <c:formatCode>0.0</c:formatCode>
                <c:ptCount val="3"/>
                <c:pt idx="0">
                  <c:v>0</c:v>
                </c:pt>
                <c:pt idx="1">
                  <c:v>3.5708022975975195</c:v>
                </c:pt>
                <c:pt idx="2">
                  <c:v>6.2240148113728635</c:v>
                </c:pt>
              </c:numCache>
            </c:numRef>
          </c:yVal>
          <c:smooth val="0"/>
          <c:extLst>
            <c:ext xmlns:c16="http://schemas.microsoft.com/office/drawing/2014/chart" uri="{C3380CC4-5D6E-409C-BE32-E72D297353CC}">
              <c16:uniqueId val="{00000000-A921-40CE-863B-600B5377E3EB}"/>
            </c:ext>
          </c:extLst>
        </c:ser>
        <c:dLbls>
          <c:showLegendKey val="0"/>
          <c:showVal val="0"/>
          <c:showCatName val="0"/>
          <c:showSerName val="0"/>
          <c:showPercent val="0"/>
          <c:showBubbleSize val="0"/>
        </c:dLbls>
        <c:axId val="640611152"/>
        <c:axId val="640611544"/>
      </c:scatterChart>
      <c:valAx>
        <c:axId val="640611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0" i="0" baseline="0">
                    <a:effectLst/>
                  </a:rPr>
                  <a:t>CT, mg/L∙min</a:t>
                </a:r>
                <a:endParaRPr lang="en-US" sz="1200">
                  <a:effectLst/>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611544"/>
        <c:crosses val="autoZero"/>
        <c:crossBetween val="midCat"/>
      </c:valAx>
      <c:valAx>
        <c:axId val="640611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6111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21l Washwater from carwash w/1% Dawn, 4°C, pH =10.06</a:t>
            </a:r>
            <a:endParaRPr lang="en-US" sz="11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5614445145525726"/>
                  <c:y val="-1.3850503053948299E-2"/>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'21l'!$P$19:$P$24</c:f>
              <c:numCache>
                <c:formatCode>#,##0</c:formatCode>
                <c:ptCount val="6"/>
                <c:pt idx="0">
                  <c:v>0</c:v>
                </c:pt>
                <c:pt idx="1">
                  <c:v>14376.675603217156</c:v>
                </c:pt>
                <c:pt idx="2">
                  <c:v>28753.351206434312</c:v>
                </c:pt>
                <c:pt idx="3">
                  <c:v>57506.702412868624</c:v>
                </c:pt>
                <c:pt idx="4">
                  <c:v>86260.05361930294</c:v>
                </c:pt>
                <c:pt idx="5">
                  <c:v>172520.10723860588</c:v>
                </c:pt>
              </c:numCache>
            </c:numRef>
          </c:xVal>
          <c:yVal>
            <c:numRef>
              <c:f>'21l'!$J$19:$J$24</c:f>
              <c:numCache>
                <c:formatCode>0.0</c:formatCode>
                <c:ptCount val="6"/>
                <c:pt idx="0">
                  <c:v>0</c:v>
                </c:pt>
                <c:pt idx="1">
                  <c:v>-6.4457989226919032E-2</c:v>
                </c:pt>
                <c:pt idx="2">
                  <c:v>-1.7033339298780703E-2</c:v>
                </c:pt>
                <c:pt idx="3">
                  <c:v>0.31875876262441238</c:v>
                </c:pt>
                <c:pt idx="4">
                  <c:v>1.0177287669604311</c:v>
                </c:pt>
                <c:pt idx="5">
                  <c:v>5.5228787452803374</c:v>
                </c:pt>
              </c:numCache>
            </c:numRef>
          </c:yVal>
          <c:smooth val="0"/>
          <c:extLst>
            <c:ext xmlns:c16="http://schemas.microsoft.com/office/drawing/2014/chart" uri="{C3380CC4-5D6E-409C-BE32-E72D297353CC}">
              <c16:uniqueId val="{00000000-7D72-4BCC-B946-BAFFD86B170D}"/>
            </c:ext>
          </c:extLst>
        </c:ser>
        <c:dLbls>
          <c:showLegendKey val="0"/>
          <c:showVal val="0"/>
          <c:showCatName val="0"/>
          <c:showSerName val="0"/>
          <c:showPercent val="0"/>
          <c:showBubbleSize val="0"/>
        </c:dLbls>
        <c:axId val="640612328"/>
        <c:axId val="640612720"/>
      </c:scatterChart>
      <c:valAx>
        <c:axId val="6406123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612720"/>
        <c:crosses val="autoZero"/>
        <c:crossBetween val="midCat"/>
      </c:valAx>
      <c:valAx>
        <c:axId val="6406127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6123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3c Floor</a:t>
            </a:r>
            <a:r>
              <a:rPr lang="en-US" baseline="0"/>
              <a:t> washwater 22 °C</a:t>
            </a:r>
            <a:endParaRPr lang="en-US"/>
          </a:p>
        </c:rich>
      </c:tx>
      <c:layout>
        <c:manualLayout>
          <c:xMode val="edge"/>
          <c:yMode val="edge"/>
          <c:x val="0.30416818731436318"/>
          <c:y val="1.22866920613134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539370078740152E-2"/>
          <c:y val="0.13278044207058823"/>
          <c:w val="0.84778696412948384"/>
          <c:h val="0.82784007928890302"/>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numFmt formatCode="0.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'3c'!$P$19:$P$21</c:f>
              <c:numCache>
                <c:formatCode>#,##0</c:formatCode>
                <c:ptCount val="3"/>
                <c:pt idx="0">
                  <c:v>0</c:v>
                </c:pt>
                <c:pt idx="1">
                  <c:v>8571.4285714285725</c:v>
                </c:pt>
                <c:pt idx="2">
                  <c:v>14285.714285714286</c:v>
                </c:pt>
              </c:numCache>
            </c:numRef>
          </c:xVal>
          <c:yVal>
            <c:numRef>
              <c:f>'3c'!$J$19:$J$21</c:f>
              <c:numCache>
                <c:formatCode>General</c:formatCode>
                <c:ptCount val="3"/>
                <c:pt idx="0">
                  <c:v>0</c:v>
                </c:pt>
                <c:pt idx="1">
                  <c:v>3.92</c:v>
                </c:pt>
                <c:pt idx="2">
                  <c:v>4.67</c:v>
                </c:pt>
              </c:numCache>
            </c:numRef>
          </c:yVal>
          <c:smooth val="0"/>
          <c:extLst>
            <c:ext xmlns:c16="http://schemas.microsoft.com/office/drawing/2014/chart" uri="{C3380CC4-5D6E-409C-BE32-E72D297353CC}">
              <c16:uniqueId val="{00000000-4DD9-4C3A-B54C-ED9D4F8BD407}"/>
            </c:ext>
          </c:extLst>
        </c:ser>
        <c:dLbls>
          <c:showLegendKey val="0"/>
          <c:showVal val="0"/>
          <c:showCatName val="0"/>
          <c:showSerName val="0"/>
          <c:showPercent val="0"/>
          <c:showBubbleSize val="0"/>
        </c:dLbls>
        <c:axId val="593620584"/>
        <c:axId val="593620976"/>
      </c:scatterChart>
      <c:valAx>
        <c:axId val="593620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620976"/>
        <c:crosses val="autoZero"/>
        <c:crossBetween val="midCat"/>
      </c:valAx>
      <c:valAx>
        <c:axId val="593620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6205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21m Washwater from carwash w/1% Dawn, 4°C, pH =8.03, (buffered w/ KH</a:t>
            </a:r>
            <a:r>
              <a:rPr lang="en-US" sz="1100" b="0" i="0" kern="1200" spc="0" baseline="-25000">
                <a:solidFill>
                  <a:srgbClr val="0000CC"/>
                </a:solidFill>
                <a:effectLst/>
              </a:rPr>
              <a:t>2</a:t>
            </a:r>
            <a:r>
              <a:rPr lang="en-US" sz="1100" b="0" i="0" kern="1200" spc="0" baseline="0">
                <a:solidFill>
                  <a:srgbClr val="0000CC"/>
                </a:solidFill>
                <a:effectLst/>
              </a:rPr>
              <a:t>PO</a:t>
            </a:r>
            <a:r>
              <a:rPr lang="en-US" sz="1100" b="0" i="0" kern="1200" spc="0" baseline="-25000">
                <a:solidFill>
                  <a:srgbClr val="0000CC"/>
                </a:solidFill>
                <a:effectLst/>
              </a:rPr>
              <a:t>4</a:t>
            </a:r>
            <a:r>
              <a:rPr lang="en-US" sz="1100" b="0" i="0" kern="1200" spc="0" baseline="0">
                <a:solidFill>
                  <a:srgbClr val="0000CC"/>
                </a:solidFill>
                <a:effectLst/>
              </a:rPr>
              <a:t>)</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706416859142645E-2"/>
          <c:y val="0.14892929292929294"/>
          <c:w val="0.88613262047727781"/>
          <c:h val="0.75734033245844279"/>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1045144356955385"/>
                  <c:y val="3.1411854768153981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'21m'!$P$19:$P$21</c:f>
              <c:numCache>
                <c:formatCode>#,##0</c:formatCode>
                <c:ptCount val="3"/>
                <c:pt idx="0">
                  <c:v>0</c:v>
                </c:pt>
                <c:pt idx="1">
                  <c:v>14149.076517150397</c:v>
                </c:pt>
                <c:pt idx="2">
                  <c:v>28298.153034300794</c:v>
                </c:pt>
              </c:numCache>
            </c:numRef>
          </c:xVal>
          <c:yVal>
            <c:numRef>
              <c:f>'21m'!$J$19:$J$21</c:f>
              <c:numCache>
                <c:formatCode>0.0</c:formatCode>
                <c:ptCount val="3"/>
                <c:pt idx="0">
                  <c:v>0</c:v>
                </c:pt>
                <c:pt idx="1">
                  <c:v>3.4471580313422194</c:v>
                </c:pt>
                <c:pt idx="2">
                  <c:v>6.2710667722865381</c:v>
                </c:pt>
              </c:numCache>
            </c:numRef>
          </c:yVal>
          <c:smooth val="0"/>
          <c:extLst>
            <c:ext xmlns:c16="http://schemas.microsoft.com/office/drawing/2014/chart" uri="{C3380CC4-5D6E-409C-BE32-E72D297353CC}">
              <c16:uniqueId val="{00000000-E06D-44AF-83E9-FD915EACA67C}"/>
            </c:ext>
          </c:extLst>
        </c:ser>
        <c:dLbls>
          <c:showLegendKey val="0"/>
          <c:showVal val="0"/>
          <c:showCatName val="0"/>
          <c:showSerName val="0"/>
          <c:showPercent val="0"/>
          <c:showBubbleSize val="0"/>
        </c:dLbls>
        <c:axId val="640270720"/>
        <c:axId val="640271112"/>
      </c:scatterChart>
      <c:valAx>
        <c:axId val="6402707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271112"/>
        <c:crosses val="autoZero"/>
        <c:crossBetween val="midCat"/>
      </c:valAx>
      <c:valAx>
        <c:axId val="640271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2707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21o Washwater from carwash w/1% Dawn, 4°C, pH =10.21</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5423410211196"/>
          <c:y val="0.13411283848288394"/>
          <c:w val="0.81683553472428394"/>
          <c:h val="0.77118154475114609"/>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5960717216334657"/>
                  <c:y val="2.6635211095074364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'21o'!$P$19:$P$24</c:f>
              <c:numCache>
                <c:formatCode>#,##0</c:formatCode>
                <c:ptCount val="6"/>
                <c:pt idx="0">
                  <c:v>0</c:v>
                </c:pt>
                <c:pt idx="1">
                  <c:v>14376.675603217156</c:v>
                </c:pt>
                <c:pt idx="2">
                  <c:v>28753.351206434312</c:v>
                </c:pt>
                <c:pt idx="3">
                  <c:v>57506.702412868624</c:v>
                </c:pt>
                <c:pt idx="4">
                  <c:v>86260.05361930294</c:v>
                </c:pt>
                <c:pt idx="5">
                  <c:v>172520.10723860588</c:v>
                </c:pt>
              </c:numCache>
            </c:numRef>
          </c:xVal>
          <c:yVal>
            <c:numRef>
              <c:f>'21o'!$J$19:$J$24</c:f>
              <c:numCache>
                <c:formatCode>0.0</c:formatCode>
                <c:ptCount val="6"/>
                <c:pt idx="0">
                  <c:v>0</c:v>
                </c:pt>
                <c:pt idx="1">
                  <c:v>-0.13658271777200781</c:v>
                </c:pt>
                <c:pt idx="2">
                  <c:v>0.24778448371075612</c:v>
                </c:pt>
                <c:pt idx="3">
                  <c:v>0.66275783168157432</c:v>
                </c:pt>
                <c:pt idx="4">
                  <c:v>1.8239087409443187</c:v>
                </c:pt>
                <c:pt idx="5">
                  <c:v>3.5835765856339492</c:v>
                </c:pt>
              </c:numCache>
            </c:numRef>
          </c:yVal>
          <c:smooth val="0"/>
          <c:extLst>
            <c:ext xmlns:c16="http://schemas.microsoft.com/office/drawing/2014/chart" uri="{C3380CC4-5D6E-409C-BE32-E72D297353CC}">
              <c16:uniqueId val="{00000000-0FB0-4724-8747-1E9869FC6255}"/>
            </c:ext>
          </c:extLst>
        </c:ser>
        <c:dLbls>
          <c:showLegendKey val="0"/>
          <c:showVal val="0"/>
          <c:showCatName val="0"/>
          <c:showSerName val="0"/>
          <c:showPercent val="0"/>
          <c:showBubbleSize val="0"/>
        </c:dLbls>
        <c:axId val="641684408"/>
        <c:axId val="641684800"/>
      </c:scatterChart>
      <c:valAx>
        <c:axId val="641684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684800"/>
        <c:crosses val="autoZero"/>
        <c:crossBetween val="midCat"/>
      </c:valAx>
      <c:valAx>
        <c:axId val="6416848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6844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21p Washwater from carwash w/1% Dawn, 4°C, pH =8.06, (buffered w/ KH</a:t>
            </a:r>
            <a:r>
              <a:rPr lang="en-US" sz="1100" b="0" i="0" kern="1200" spc="0" baseline="-25000">
                <a:solidFill>
                  <a:srgbClr val="0000CC"/>
                </a:solidFill>
                <a:effectLst/>
              </a:rPr>
              <a:t>2</a:t>
            </a:r>
            <a:r>
              <a:rPr lang="en-US" sz="1100" b="0" i="0" kern="1200" spc="0" baseline="0">
                <a:solidFill>
                  <a:srgbClr val="0000CC"/>
                </a:solidFill>
                <a:effectLst/>
              </a:rPr>
              <a:t>PO</a:t>
            </a:r>
            <a:r>
              <a:rPr lang="en-US" sz="1100" b="0" i="0" kern="1200" spc="0" baseline="-25000">
                <a:solidFill>
                  <a:srgbClr val="0000CC"/>
                </a:solidFill>
                <a:effectLst/>
              </a:rPr>
              <a:t>4</a:t>
            </a:r>
            <a:r>
              <a:rPr lang="en-US" sz="1100" b="0" i="0" kern="1200" spc="0" baseline="0">
                <a:solidFill>
                  <a:srgbClr val="0000CC"/>
                </a:solidFill>
                <a:effectLst/>
              </a:rPr>
              <a:t>)</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1976666400721737E-2"/>
          <c:y val="0.15839862204724411"/>
          <c:w val="0.82254389699019348"/>
          <c:h val="0.73730602302163206"/>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5059040804056566"/>
                  <c:y val="-3.7800385704788837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'21p'!$P$19:$P$21</c:f>
              <c:numCache>
                <c:formatCode>#,##0</c:formatCode>
                <c:ptCount val="3"/>
                <c:pt idx="0">
                  <c:v>0</c:v>
                </c:pt>
                <c:pt idx="1">
                  <c:v>14149.076517150397</c:v>
                </c:pt>
                <c:pt idx="2">
                  <c:v>28298.153034300794</c:v>
                </c:pt>
              </c:numCache>
            </c:numRef>
          </c:xVal>
          <c:yVal>
            <c:numRef>
              <c:f>'21p'!$J$19:$J$21</c:f>
              <c:numCache>
                <c:formatCode>0.0</c:formatCode>
                <c:ptCount val="3"/>
                <c:pt idx="0">
                  <c:v>0</c:v>
                </c:pt>
                <c:pt idx="1">
                  <c:v>3.7617608341954747</c:v>
                </c:pt>
                <c:pt idx="2">
                  <c:v>5.5118833609788744</c:v>
                </c:pt>
              </c:numCache>
            </c:numRef>
          </c:yVal>
          <c:smooth val="0"/>
          <c:extLst>
            <c:ext xmlns:c16="http://schemas.microsoft.com/office/drawing/2014/chart" uri="{C3380CC4-5D6E-409C-BE32-E72D297353CC}">
              <c16:uniqueId val="{00000000-33F8-4228-B6F7-4A4EBBB96FD8}"/>
            </c:ext>
          </c:extLst>
        </c:ser>
        <c:dLbls>
          <c:showLegendKey val="0"/>
          <c:showVal val="0"/>
          <c:showCatName val="0"/>
          <c:showSerName val="0"/>
          <c:showPercent val="0"/>
          <c:showBubbleSize val="0"/>
        </c:dLbls>
        <c:axId val="641685584"/>
        <c:axId val="641685976"/>
      </c:scatterChart>
      <c:valAx>
        <c:axId val="641685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685976"/>
        <c:crosses val="autoZero"/>
        <c:crossBetween val="midCat"/>
      </c:valAx>
      <c:valAx>
        <c:axId val="6416859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6855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21q Washwater from carwash w/1% Dawn, 4°C, pH =7.01 (buffered w/ KH</a:t>
            </a:r>
            <a:r>
              <a:rPr lang="en-US" sz="1100" b="0" i="0" kern="1200" spc="0" baseline="-25000">
                <a:solidFill>
                  <a:srgbClr val="0000CC"/>
                </a:solidFill>
                <a:effectLst/>
              </a:rPr>
              <a:t>2</a:t>
            </a:r>
            <a:r>
              <a:rPr lang="en-US" sz="1100" b="0" i="0" kern="1200" spc="0" baseline="0">
                <a:solidFill>
                  <a:srgbClr val="0000CC"/>
                </a:solidFill>
                <a:effectLst/>
              </a:rPr>
              <a:t>PO</a:t>
            </a:r>
            <a:r>
              <a:rPr lang="en-US" sz="1100" b="0" i="0" kern="1200" spc="0" baseline="-25000">
                <a:solidFill>
                  <a:srgbClr val="0000CC"/>
                </a:solidFill>
                <a:effectLst/>
              </a:rPr>
              <a:t>4</a:t>
            </a:r>
            <a:r>
              <a:rPr lang="en-US" sz="1100" b="0" i="0" kern="1200" spc="0" baseline="0">
                <a:solidFill>
                  <a:srgbClr val="0000CC"/>
                </a:solidFill>
                <a:effectLst/>
              </a:rPr>
              <a:t>)</a:t>
            </a:r>
            <a:endParaRPr lang="en-US" sz="1100">
              <a:effectLst/>
            </a:endParaRPr>
          </a:p>
        </c:rich>
      </c:tx>
      <c:layout>
        <c:manualLayout>
          <c:xMode val="edge"/>
          <c:yMode val="edge"/>
          <c:x val="9.7607518861276443E-2"/>
          <c:y val="3.08143658029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430401129627287E-2"/>
          <c:y val="0.17106375072876495"/>
          <c:w val="0.86074166166093813"/>
          <c:h val="0.72681626249818887"/>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5764483816476107"/>
                  <c:y val="-1.3706673580546117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'21q'!$P$19:$P$20</c:f>
              <c:numCache>
                <c:formatCode>#,##0</c:formatCode>
                <c:ptCount val="2"/>
                <c:pt idx="0">
                  <c:v>0</c:v>
                </c:pt>
                <c:pt idx="1">
                  <c:v>14149.076517150397</c:v>
                </c:pt>
              </c:numCache>
            </c:numRef>
          </c:xVal>
          <c:yVal>
            <c:numRef>
              <c:f>'21q'!$J$19:$J$20</c:f>
              <c:numCache>
                <c:formatCode>0.0</c:formatCode>
                <c:ptCount val="2"/>
                <c:pt idx="0">
                  <c:v>0</c:v>
                </c:pt>
                <c:pt idx="1">
                  <c:v>3.8802624570775084</c:v>
                </c:pt>
              </c:numCache>
            </c:numRef>
          </c:yVal>
          <c:smooth val="0"/>
          <c:extLst>
            <c:ext xmlns:c16="http://schemas.microsoft.com/office/drawing/2014/chart" uri="{C3380CC4-5D6E-409C-BE32-E72D297353CC}">
              <c16:uniqueId val="{00000000-613A-46F5-87DC-157F731DF4DC}"/>
            </c:ext>
          </c:extLst>
        </c:ser>
        <c:dLbls>
          <c:showLegendKey val="0"/>
          <c:showVal val="0"/>
          <c:showCatName val="0"/>
          <c:showSerName val="0"/>
          <c:showPercent val="0"/>
          <c:showBubbleSize val="0"/>
        </c:dLbls>
        <c:axId val="641686760"/>
        <c:axId val="641687152"/>
      </c:scatterChart>
      <c:valAx>
        <c:axId val="6416867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687152"/>
        <c:crosses val="autoZero"/>
        <c:crossBetween val="midCat"/>
      </c:valAx>
      <c:valAx>
        <c:axId val="6416871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6867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ysClr val="windowText" lastClr="000000"/>
                </a:solidFill>
              </a:rPr>
              <a:t>10a Washwater from carwash w/1% Dawn, 21 °C, pH =9.84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009036037819049"/>
                  <c:y val="-1.0847423082775596E-2"/>
                </c:manualLayout>
              </c:layout>
              <c:numFmt formatCode="0.000E+00" sourceLinked="0"/>
              <c:spPr>
                <a:noFill/>
                <a:ln>
                  <a:noFill/>
                </a:ln>
                <a:effectLst/>
              </c:spPr>
              <c:txPr>
                <a:bodyPr rot="0" spcFirstLastPara="1" vertOverflow="ellipsis" vert="horz" wrap="square" anchor="ctr" anchorCtr="1"/>
                <a:lstStyle/>
                <a:p>
                  <a:pPr algn="ctr" rtl="0">
                    <a:spcBef>
                      <a:spcPts val="0"/>
                    </a:spcBef>
                    <a:spcAft>
                      <a:spcPts val="0"/>
                    </a:spcAft>
                    <a:defRPr sz="900" b="0" i="0" u="none" strike="noStrike" kern="1200" baseline="0">
                      <a:solidFill>
                        <a:schemeClr val="tx1"/>
                      </a:solidFill>
                      <a:latin typeface="+mn-lt"/>
                      <a:ea typeface="+mn-ea"/>
                      <a:cs typeface="+mn-cs"/>
                    </a:defRPr>
                  </a:pPr>
                  <a:endParaRPr lang="en-US"/>
                </a:p>
              </c:txPr>
            </c:trendlineLbl>
          </c:trendline>
          <c:xVal>
            <c:numRef>
              <c:f>'10a'!$P$19:$P$24</c:f>
              <c:numCache>
                <c:formatCode>#,##0</c:formatCode>
                <c:ptCount val="6"/>
                <c:pt idx="0">
                  <c:v>0</c:v>
                </c:pt>
                <c:pt idx="1">
                  <c:v>8702.2900763358775</c:v>
                </c:pt>
                <c:pt idx="2">
                  <c:v>14503.816793893129</c:v>
                </c:pt>
                <c:pt idx="3">
                  <c:v>29007.633587786258</c:v>
                </c:pt>
                <c:pt idx="4">
                  <c:v>43511.450381679388</c:v>
                </c:pt>
                <c:pt idx="5">
                  <c:v>87022.900763358775</c:v>
                </c:pt>
              </c:numCache>
            </c:numRef>
          </c:xVal>
          <c:yVal>
            <c:numRef>
              <c:f>'10a'!$J$19:$J$24</c:f>
              <c:numCache>
                <c:formatCode>General</c:formatCode>
                <c:ptCount val="6"/>
                <c:pt idx="0">
                  <c:v>0</c:v>
                </c:pt>
                <c:pt idx="1">
                  <c:v>0.1</c:v>
                </c:pt>
                <c:pt idx="2">
                  <c:v>0.28000000000000003</c:v>
                </c:pt>
                <c:pt idx="3">
                  <c:v>3.04</c:v>
                </c:pt>
                <c:pt idx="4">
                  <c:v>3.86</c:v>
                </c:pt>
                <c:pt idx="5">
                  <c:v>5.34</c:v>
                </c:pt>
              </c:numCache>
            </c:numRef>
          </c:yVal>
          <c:smooth val="0"/>
          <c:extLst>
            <c:ext xmlns:c16="http://schemas.microsoft.com/office/drawing/2014/chart" uri="{C3380CC4-5D6E-409C-BE32-E72D297353CC}">
              <c16:uniqueId val="{00000000-315E-4116-B429-7A6A75F59EC4}"/>
            </c:ext>
          </c:extLst>
        </c:ser>
        <c:dLbls>
          <c:showLegendKey val="0"/>
          <c:showVal val="0"/>
          <c:showCatName val="0"/>
          <c:showSerName val="0"/>
          <c:showPercent val="0"/>
          <c:showBubbleSize val="0"/>
        </c:dLbls>
        <c:axId val="652878552"/>
        <c:axId val="652878944"/>
      </c:scatterChart>
      <c:valAx>
        <c:axId val="6528785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878944"/>
        <c:crosses val="autoZero"/>
        <c:crossBetween val="midCat"/>
      </c:valAx>
      <c:valAx>
        <c:axId val="652878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8785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baseline="0">
                <a:solidFill>
                  <a:sysClr val="windowText" lastClr="000000"/>
                </a:solidFill>
                <a:effectLst/>
              </a:rPr>
              <a:t>10b Washwater from carwash w/1% Dawn, 24.1 °C, pH =9.91</a:t>
            </a:r>
            <a:endParaRPr lang="en-US" sz="1100">
              <a:solidFill>
                <a:sysClr val="windowText" lastClr="000000"/>
              </a:solidFill>
              <a:effectLst/>
            </a:endParaRPr>
          </a:p>
        </c:rich>
      </c:tx>
      <c:layout>
        <c:manualLayout>
          <c:xMode val="edge"/>
          <c:yMode val="edge"/>
          <c:x val="0.11352979624940038"/>
          <c:y val="1.75953099493511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1702537465598886"/>
                  <c:y val="-6.2903233068930323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'10b'!$P$19:$P$23</c:f>
              <c:numCache>
                <c:formatCode>#,##0</c:formatCode>
                <c:ptCount val="5"/>
                <c:pt idx="0">
                  <c:v>0</c:v>
                </c:pt>
                <c:pt idx="1">
                  <c:v>8571.4285714285725</c:v>
                </c:pt>
                <c:pt idx="2">
                  <c:v>14285.714285714286</c:v>
                </c:pt>
                <c:pt idx="3">
                  <c:v>42857.142857142862</c:v>
                </c:pt>
                <c:pt idx="4">
                  <c:v>85714.285714285725</c:v>
                </c:pt>
              </c:numCache>
            </c:numRef>
          </c:xVal>
          <c:yVal>
            <c:numRef>
              <c:f>'10b'!$J$19:$J$23</c:f>
              <c:numCache>
                <c:formatCode>General</c:formatCode>
                <c:ptCount val="5"/>
                <c:pt idx="0">
                  <c:v>0</c:v>
                </c:pt>
                <c:pt idx="1">
                  <c:v>0.34</c:v>
                </c:pt>
                <c:pt idx="2">
                  <c:v>2.6</c:v>
                </c:pt>
                <c:pt idx="3">
                  <c:v>4.7699999999999996</c:v>
                </c:pt>
                <c:pt idx="4">
                  <c:v>5.53</c:v>
                </c:pt>
              </c:numCache>
            </c:numRef>
          </c:yVal>
          <c:smooth val="0"/>
          <c:extLst>
            <c:ext xmlns:c16="http://schemas.microsoft.com/office/drawing/2014/chart" uri="{C3380CC4-5D6E-409C-BE32-E72D297353CC}">
              <c16:uniqueId val="{00000000-8BDB-4C2B-A240-29732E6E793F}"/>
            </c:ext>
          </c:extLst>
        </c:ser>
        <c:dLbls>
          <c:showLegendKey val="0"/>
          <c:showVal val="0"/>
          <c:showCatName val="0"/>
          <c:showSerName val="0"/>
          <c:showPercent val="0"/>
          <c:showBubbleSize val="0"/>
        </c:dLbls>
        <c:axId val="652879728"/>
        <c:axId val="652880120"/>
      </c:scatterChart>
      <c:valAx>
        <c:axId val="6528797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880120"/>
        <c:crosses val="autoZero"/>
        <c:crossBetween val="midCat"/>
      </c:valAx>
      <c:valAx>
        <c:axId val="652880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8797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00"/>
                </a:solidFill>
                <a:effectLst/>
              </a:rPr>
              <a:t>10c Washwater from carwash w/1% Dawn, 24.1 °C, pH =9.78</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4265980710057116E-2"/>
          <c:y val="0.1339053905390539"/>
          <c:w val="0.87359277662945334"/>
          <c:h val="0.75081070311755582"/>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5059040804056566"/>
                  <c:y val="-3.7800385704788837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'10c'!$P$19:$P$24</c:f>
              <c:numCache>
                <c:formatCode>#,##0</c:formatCode>
                <c:ptCount val="6"/>
                <c:pt idx="0">
                  <c:v>0</c:v>
                </c:pt>
                <c:pt idx="1">
                  <c:v>8702.2900763358775</c:v>
                </c:pt>
                <c:pt idx="2">
                  <c:v>14503.816793893129</c:v>
                </c:pt>
                <c:pt idx="3">
                  <c:v>29007.633587786258</c:v>
                </c:pt>
                <c:pt idx="4">
                  <c:v>43511.450381679388</c:v>
                </c:pt>
                <c:pt idx="5">
                  <c:v>87022.900763358775</c:v>
                </c:pt>
              </c:numCache>
            </c:numRef>
          </c:xVal>
          <c:yVal>
            <c:numRef>
              <c:f>'10c'!$J$19:$J$24</c:f>
              <c:numCache>
                <c:formatCode>General</c:formatCode>
                <c:ptCount val="6"/>
                <c:pt idx="0">
                  <c:v>0</c:v>
                </c:pt>
                <c:pt idx="1">
                  <c:v>0.24</c:v>
                </c:pt>
                <c:pt idx="2">
                  <c:v>0.89</c:v>
                </c:pt>
                <c:pt idx="3">
                  <c:v>2.59</c:v>
                </c:pt>
                <c:pt idx="4">
                  <c:v>3.55</c:v>
                </c:pt>
                <c:pt idx="5">
                  <c:v>5.7</c:v>
                </c:pt>
              </c:numCache>
            </c:numRef>
          </c:yVal>
          <c:smooth val="0"/>
          <c:extLst>
            <c:ext xmlns:c16="http://schemas.microsoft.com/office/drawing/2014/chart" uri="{C3380CC4-5D6E-409C-BE32-E72D297353CC}">
              <c16:uniqueId val="{00000000-F07C-4076-ABB5-583F92522E2A}"/>
            </c:ext>
          </c:extLst>
        </c:ser>
        <c:dLbls>
          <c:showLegendKey val="0"/>
          <c:showVal val="0"/>
          <c:showCatName val="0"/>
          <c:showSerName val="0"/>
          <c:showPercent val="0"/>
          <c:showBubbleSize val="0"/>
        </c:dLbls>
        <c:axId val="652880904"/>
        <c:axId val="652881296"/>
      </c:scatterChart>
      <c:valAx>
        <c:axId val="6528809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881296"/>
        <c:crosses val="autoZero"/>
        <c:crossBetween val="midCat"/>
      </c:valAx>
      <c:valAx>
        <c:axId val="652881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8809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kern="1200" spc="0" baseline="0">
                <a:solidFill>
                  <a:srgbClr val="000000"/>
                </a:solidFill>
                <a:effectLst/>
              </a:rPr>
              <a:t>10d Washwater from carwash w/1% Dawn, 20 °C, pH =9.33</a:t>
            </a:r>
            <a:endParaRPr lang="en-US" sz="1050">
              <a:effectLst/>
            </a:endParaRPr>
          </a:p>
        </c:rich>
      </c:tx>
      <c:layout>
        <c:manualLayout>
          <c:xMode val="edge"/>
          <c:yMode val="edge"/>
          <c:x val="0.13164837769692839"/>
          <c:y val="3.30235205041633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8384508053405004"/>
                  <c:y val="-1.1519460679498645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'10d'!$P$19:$P$21</c:f>
              <c:numCache>
                <c:formatCode>#,##0</c:formatCode>
                <c:ptCount val="3"/>
                <c:pt idx="0">
                  <c:v>0</c:v>
                </c:pt>
                <c:pt idx="1">
                  <c:v>14285.714285714286</c:v>
                </c:pt>
                <c:pt idx="2">
                  <c:v>28571.428571428572</c:v>
                </c:pt>
              </c:numCache>
            </c:numRef>
          </c:xVal>
          <c:yVal>
            <c:numRef>
              <c:f>'10d'!$J$19:$J$21</c:f>
              <c:numCache>
                <c:formatCode>0.0</c:formatCode>
                <c:ptCount val="3"/>
                <c:pt idx="0">
                  <c:v>0</c:v>
                </c:pt>
                <c:pt idx="1">
                  <c:v>2.3756636139608851</c:v>
                </c:pt>
                <c:pt idx="2" formatCode="General">
                  <c:v>7.6</c:v>
                </c:pt>
              </c:numCache>
            </c:numRef>
          </c:yVal>
          <c:smooth val="0"/>
          <c:extLst>
            <c:ext xmlns:c16="http://schemas.microsoft.com/office/drawing/2014/chart" uri="{C3380CC4-5D6E-409C-BE32-E72D297353CC}">
              <c16:uniqueId val="{00000000-5D56-4318-94FD-A780C63A7010}"/>
            </c:ext>
          </c:extLst>
        </c:ser>
        <c:dLbls>
          <c:showLegendKey val="0"/>
          <c:showVal val="0"/>
          <c:showCatName val="0"/>
          <c:showSerName val="0"/>
          <c:showPercent val="0"/>
          <c:showBubbleSize val="0"/>
        </c:dLbls>
        <c:axId val="650530872"/>
        <c:axId val="650531264"/>
      </c:scatterChart>
      <c:valAx>
        <c:axId val="6505308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31264"/>
        <c:crosses val="autoZero"/>
        <c:crossBetween val="midCat"/>
      </c:valAx>
      <c:valAx>
        <c:axId val="6505312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308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kern="1200" spc="0" baseline="0">
                <a:solidFill>
                  <a:srgbClr val="000000"/>
                </a:solidFill>
                <a:effectLst/>
              </a:rPr>
              <a:t>10e Washwater from carwash w/1% Dawn, 20 °C, pH =8.05</a:t>
            </a:r>
            <a:endParaRPr lang="en-US" sz="105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1045144356955385"/>
                  <c:y val="3.1411854768153981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'10e'!$P$19:$P$20</c:f>
              <c:numCache>
                <c:formatCode>#,##0</c:formatCode>
                <c:ptCount val="2"/>
                <c:pt idx="0">
                  <c:v>0</c:v>
                </c:pt>
                <c:pt idx="1">
                  <c:v>14173.228346456692</c:v>
                </c:pt>
              </c:numCache>
            </c:numRef>
          </c:xVal>
          <c:yVal>
            <c:numRef>
              <c:f>'10e'!$J$19:$J$20</c:f>
              <c:numCache>
                <c:formatCode>0.0</c:formatCode>
                <c:ptCount val="2"/>
                <c:pt idx="0">
                  <c:v>0</c:v>
                </c:pt>
                <c:pt idx="1">
                  <c:v>2.7680509234793185</c:v>
                </c:pt>
              </c:numCache>
            </c:numRef>
          </c:yVal>
          <c:smooth val="0"/>
          <c:extLst>
            <c:ext xmlns:c16="http://schemas.microsoft.com/office/drawing/2014/chart" uri="{C3380CC4-5D6E-409C-BE32-E72D297353CC}">
              <c16:uniqueId val="{00000000-B0DC-4526-8D48-A1226E3449FC}"/>
            </c:ext>
          </c:extLst>
        </c:ser>
        <c:dLbls>
          <c:showLegendKey val="0"/>
          <c:showVal val="0"/>
          <c:showCatName val="0"/>
          <c:showSerName val="0"/>
          <c:showPercent val="0"/>
          <c:showBubbleSize val="0"/>
        </c:dLbls>
        <c:axId val="650532048"/>
        <c:axId val="650532440"/>
      </c:scatterChart>
      <c:valAx>
        <c:axId val="650532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32440"/>
        <c:crosses val="autoZero"/>
        <c:crossBetween val="midCat"/>
      </c:valAx>
      <c:valAx>
        <c:axId val="6505324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320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kern="1200" spc="0" baseline="0">
                <a:solidFill>
                  <a:srgbClr val="000000"/>
                </a:solidFill>
                <a:effectLst/>
              </a:rPr>
              <a:t>10eR Washwater from carwash w/1% Dawn, 20 °C, pH =8.05</a:t>
            </a:r>
            <a:endParaRPr lang="en-US" sz="105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1045144356955385"/>
                  <c:y val="3.1411854768153981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'10eR'!$P$19:$P$20</c:f>
              <c:numCache>
                <c:formatCode>#,##0</c:formatCode>
                <c:ptCount val="2"/>
                <c:pt idx="0">
                  <c:v>0</c:v>
                </c:pt>
                <c:pt idx="1">
                  <c:v>8478.2608695652179</c:v>
                </c:pt>
              </c:numCache>
            </c:numRef>
          </c:xVal>
          <c:yVal>
            <c:numRef>
              <c:f>'10eR'!$J$19:$J$20</c:f>
              <c:numCache>
                <c:formatCode>0.0</c:formatCode>
                <c:ptCount val="2"/>
                <c:pt idx="0">
                  <c:v>0</c:v>
                </c:pt>
                <c:pt idx="1">
                  <c:v>2.3728292880890072</c:v>
                </c:pt>
              </c:numCache>
            </c:numRef>
          </c:yVal>
          <c:smooth val="0"/>
          <c:extLst>
            <c:ext xmlns:c16="http://schemas.microsoft.com/office/drawing/2014/chart" uri="{C3380CC4-5D6E-409C-BE32-E72D297353CC}">
              <c16:uniqueId val="{00000000-7B35-44A8-B59C-88700B0B090F}"/>
            </c:ext>
          </c:extLst>
        </c:ser>
        <c:dLbls>
          <c:showLegendKey val="0"/>
          <c:showVal val="0"/>
          <c:showCatName val="0"/>
          <c:showSerName val="0"/>
          <c:showPercent val="0"/>
          <c:showBubbleSize val="0"/>
        </c:dLbls>
        <c:axId val="650533224"/>
        <c:axId val="650533616"/>
      </c:scatterChart>
      <c:valAx>
        <c:axId val="6505332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33616"/>
        <c:crosses val="autoZero"/>
        <c:crossBetween val="midCat"/>
      </c:valAx>
      <c:valAx>
        <c:axId val="650533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332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t>7a PPE</a:t>
            </a:r>
            <a:r>
              <a:rPr lang="en-US" sz="1100" baseline="0"/>
              <a:t> washwater w/MHRW, 1% Alconox </a:t>
            </a:r>
            <a:r>
              <a:rPr lang="en-US" sz="1100"/>
              <a:t>Log</a:t>
            </a:r>
            <a:r>
              <a:rPr lang="en-US" sz="1100" baseline="0"/>
              <a:t> Inactivation vs. CT, 23°C, pH =8.8</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539370078740152E-2"/>
          <c:y val="0.13278044207058823"/>
          <c:w val="0.85026113811330639"/>
          <c:h val="0.74487704989745107"/>
        </c:manualLayout>
      </c:layout>
      <c:scatterChart>
        <c:scatterStyle val="lineMarker"/>
        <c:varyColors val="0"/>
        <c:ser>
          <c:idx val="1"/>
          <c:order val="0"/>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intercept val="0"/>
            <c:dispRSqr val="1"/>
            <c:dispEq val="1"/>
            <c:trendlineLbl>
              <c:numFmt formatCode="0.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'7a'!$P$19:$P$20</c:f>
              <c:numCache>
                <c:formatCode>#,##0</c:formatCode>
                <c:ptCount val="2"/>
                <c:pt idx="0">
                  <c:v>0</c:v>
                </c:pt>
                <c:pt idx="1">
                  <c:v>8571.4285714285725</c:v>
                </c:pt>
              </c:numCache>
            </c:numRef>
          </c:xVal>
          <c:yVal>
            <c:numRef>
              <c:f>'7a'!$J$19:$J$20</c:f>
              <c:numCache>
                <c:formatCode>General</c:formatCode>
                <c:ptCount val="2"/>
                <c:pt idx="0">
                  <c:v>0</c:v>
                </c:pt>
                <c:pt idx="1">
                  <c:v>3.84</c:v>
                </c:pt>
              </c:numCache>
            </c:numRef>
          </c:yVal>
          <c:smooth val="0"/>
          <c:extLst>
            <c:ext xmlns:c16="http://schemas.microsoft.com/office/drawing/2014/chart" uri="{C3380CC4-5D6E-409C-BE32-E72D297353CC}">
              <c16:uniqueId val="{00000000-43D3-46E9-AAF5-361D39CA2AB9}"/>
            </c:ext>
          </c:extLst>
        </c:ser>
        <c:dLbls>
          <c:showLegendKey val="0"/>
          <c:showVal val="0"/>
          <c:showCatName val="0"/>
          <c:showSerName val="0"/>
          <c:showPercent val="0"/>
          <c:showBubbleSize val="0"/>
        </c:dLbls>
        <c:axId val="639305568"/>
        <c:axId val="639305960"/>
      </c:scatterChart>
      <c:valAx>
        <c:axId val="6393055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CT, mg/L∙min</a:t>
                </a:r>
              </a:p>
            </c:rich>
          </c:tx>
          <c:layout>
            <c:manualLayout>
              <c:xMode val="edge"/>
              <c:yMode val="edge"/>
              <c:x val="0.4457415628855021"/>
              <c:y val="0.946058221975334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305960"/>
        <c:crosses val="autoZero"/>
        <c:crossBetween val="midCat"/>
      </c:valAx>
      <c:valAx>
        <c:axId val="63930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3055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kern="1200" spc="0" baseline="0">
                <a:solidFill>
                  <a:srgbClr val="000000"/>
                </a:solidFill>
                <a:effectLst/>
              </a:rPr>
              <a:t>10f Washwater from carwash w/1% Dawn, 20 °C, pH =7.04</a:t>
            </a:r>
            <a:endParaRPr lang="en-US" sz="105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1045144356955385"/>
                  <c:y val="3.1411854768153981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'10f'!$P$19:$P$20</c:f>
              <c:numCache>
                <c:formatCode>#,##0</c:formatCode>
                <c:ptCount val="2"/>
                <c:pt idx="0">
                  <c:v>0</c:v>
                </c:pt>
                <c:pt idx="1">
                  <c:v>8617.0212765957458</c:v>
                </c:pt>
              </c:numCache>
            </c:numRef>
          </c:xVal>
          <c:yVal>
            <c:numRef>
              <c:f>'10f'!$J$19:$J$20</c:f>
              <c:numCache>
                <c:formatCode>0.0</c:formatCode>
                <c:ptCount val="2"/>
                <c:pt idx="0">
                  <c:v>0</c:v>
                </c:pt>
                <c:pt idx="1">
                  <c:v>3.1219943559615189</c:v>
                </c:pt>
              </c:numCache>
            </c:numRef>
          </c:yVal>
          <c:smooth val="0"/>
          <c:extLst>
            <c:ext xmlns:c16="http://schemas.microsoft.com/office/drawing/2014/chart" uri="{C3380CC4-5D6E-409C-BE32-E72D297353CC}">
              <c16:uniqueId val="{00000000-FFC5-488B-818E-E4E49D1C6171}"/>
            </c:ext>
          </c:extLst>
        </c:ser>
        <c:dLbls>
          <c:showLegendKey val="0"/>
          <c:showVal val="0"/>
          <c:showCatName val="0"/>
          <c:showSerName val="0"/>
          <c:showPercent val="0"/>
          <c:showBubbleSize val="0"/>
        </c:dLbls>
        <c:axId val="650534400"/>
        <c:axId val="640102216"/>
      </c:scatterChart>
      <c:valAx>
        <c:axId val="6505344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102216"/>
        <c:crosses val="autoZero"/>
        <c:crossBetween val="midCat"/>
      </c:valAx>
      <c:valAx>
        <c:axId val="6401022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344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kern="1200" spc="0" baseline="0">
                <a:solidFill>
                  <a:srgbClr val="000000"/>
                </a:solidFill>
                <a:effectLst/>
              </a:rPr>
              <a:t>10g Washwater from carwash w/1% Dawn, 21 °C, pH = 7.03</a:t>
            </a:r>
            <a:endParaRPr lang="en-US" sz="105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1045144356955385"/>
                  <c:y val="3.1411854768153981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'10g'!$P$19:$P$21</c:f>
              <c:numCache>
                <c:formatCode>#,##0</c:formatCode>
                <c:ptCount val="3"/>
                <c:pt idx="0">
                  <c:v>0</c:v>
                </c:pt>
                <c:pt idx="1">
                  <c:v>8097.8966502207204</c:v>
                </c:pt>
                <c:pt idx="2">
                  <c:v>13496.494417034535</c:v>
                </c:pt>
              </c:numCache>
            </c:numRef>
          </c:xVal>
          <c:yVal>
            <c:numRef>
              <c:f>'10g'!$J$19:$J$21</c:f>
              <c:numCache>
                <c:formatCode>0.0</c:formatCode>
                <c:ptCount val="3"/>
                <c:pt idx="0">
                  <c:v>0</c:v>
                </c:pt>
                <c:pt idx="1">
                  <c:v>3.1383026981662816</c:v>
                </c:pt>
                <c:pt idx="2">
                  <c:v>6.2455126678141504</c:v>
                </c:pt>
              </c:numCache>
            </c:numRef>
          </c:yVal>
          <c:smooth val="0"/>
          <c:extLst>
            <c:ext xmlns:c16="http://schemas.microsoft.com/office/drawing/2014/chart" uri="{C3380CC4-5D6E-409C-BE32-E72D297353CC}">
              <c16:uniqueId val="{00000000-448C-48A6-A19C-2729F0DB5F72}"/>
            </c:ext>
          </c:extLst>
        </c:ser>
        <c:dLbls>
          <c:showLegendKey val="0"/>
          <c:showVal val="0"/>
          <c:showCatName val="0"/>
          <c:showSerName val="0"/>
          <c:showPercent val="0"/>
          <c:showBubbleSize val="0"/>
        </c:dLbls>
        <c:axId val="640103000"/>
        <c:axId val="640103392"/>
      </c:scatterChart>
      <c:valAx>
        <c:axId val="6401030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103392"/>
        <c:crosses val="autoZero"/>
        <c:crossBetween val="midCat"/>
      </c:valAx>
      <c:valAx>
        <c:axId val="6401033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1030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kern="1200" spc="0" baseline="0">
                <a:solidFill>
                  <a:srgbClr val="000000"/>
                </a:solidFill>
                <a:effectLst/>
              </a:rPr>
              <a:t>10h Washwater from carwash w/1% Dawn, 21 °C, pH = 7.99</a:t>
            </a:r>
            <a:endParaRPr lang="en-US" sz="105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1045144356955385"/>
                  <c:y val="3.1411854768153981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'10h'!$P$19:$P$20</c:f>
              <c:numCache>
                <c:formatCode>#,##0</c:formatCode>
                <c:ptCount val="2"/>
                <c:pt idx="0">
                  <c:v>0</c:v>
                </c:pt>
                <c:pt idx="1">
                  <c:v>8512.3515763614014</c:v>
                </c:pt>
              </c:numCache>
            </c:numRef>
          </c:xVal>
          <c:yVal>
            <c:numRef>
              <c:f>'10h'!$J$19:$J$20</c:f>
              <c:numCache>
                <c:formatCode>0.0</c:formatCode>
                <c:ptCount val="2"/>
                <c:pt idx="0">
                  <c:v>0</c:v>
                </c:pt>
                <c:pt idx="1">
                  <c:v>3.4471580313422194</c:v>
                </c:pt>
              </c:numCache>
            </c:numRef>
          </c:yVal>
          <c:smooth val="0"/>
          <c:extLst>
            <c:ext xmlns:c16="http://schemas.microsoft.com/office/drawing/2014/chart" uri="{C3380CC4-5D6E-409C-BE32-E72D297353CC}">
              <c16:uniqueId val="{00000000-78E8-4035-8556-5280078C43E8}"/>
            </c:ext>
          </c:extLst>
        </c:ser>
        <c:dLbls>
          <c:showLegendKey val="0"/>
          <c:showVal val="0"/>
          <c:showCatName val="0"/>
          <c:showSerName val="0"/>
          <c:showPercent val="0"/>
          <c:showBubbleSize val="0"/>
        </c:dLbls>
        <c:axId val="640104176"/>
        <c:axId val="640104568"/>
      </c:scatterChart>
      <c:valAx>
        <c:axId val="6401041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104568"/>
        <c:crosses val="autoZero"/>
        <c:crossBetween val="midCat"/>
      </c:valAx>
      <c:valAx>
        <c:axId val="6401045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1041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kern="1200" spc="0" baseline="0">
                <a:solidFill>
                  <a:srgbClr val="000000"/>
                </a:solidFill>
                <a:effectLst/>
              </a:rPr>
              <a:t>10i Washwater from carwash w/1% Dawn, 20 °C, pH = 9.08</a:t>
            </a:r>
            <a:endParaRPr lang="en-US" sz="105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'10i'!$P$18:$P$23</c:f>
              <c:numCache>
                <c:formatCode>#,##0</c:formatCode>
                <c:ptCount val="6"/>
                <c:pt idx="0">
                  <c:v>0</c:v>
                </c:pt>
                <c:pt idx="1">
                  <c:v>8600.3861003861002</c:v>
                </c:pt>
                <c:pt idx="2">
                  <c:v>14333.976833976832</c:v>
                </c:pt>
                <c:pt idx="3">
                  <c:v>28667.953667953665</c:v>
                </c:pt>
                <c:pt idx="4">
                  <c:v>43001.930501930496</c:v>
                </c:pt>
                <c:pt idx="5">
                  <c:v>57335.90733590733</c:v>
                </c:pt>
              </c:numCache>
            </c:numRef>
          </c:xVal>
          <c:yVal>
            <c:numRef>
              <c:f>'10i'!$J$18:$J$23</c:f>
              <c:numCache>
                <c:formatCode>0.0</c:formatCode>
                <c:ptCount val="6"/>
                <c:pt idx="0">
                  <c:v>0</c:v>
                </c:pt>
                <c:pt idx="1">
                  <c:v>1.9330532103693869</c:v>
                </c:pt>
                <c:pt idx="2">
                  <c:v>5.08795517035513</c:v>
                </c:pt>
                <c:pt idx="3">
                  <c:v>6.3010299956639813</c:v>
                </c:pt>
                <c:pt idx="4">
                  <c:v>6.1760912590556813</c:v>
                </c:pt>
                <c:pt idx="5">
                  <c:v>6.7781512503836439</c:v>
                </c:pt>
              </c:numCache>
            </c:numRef>
          </c:yVal>
          <c:smooth val="0"/>
          <c:extLst>
            <c:ext xmlns:c16="http://schemas.microsoft.com/office/drawing/2014/chart" uri="{C3380CC4-5D6E-409C-BE32-E72D297353CC}">
              <c16:uniqueId val="{00000000-2599-4445-9AE1-58AAD5491E25}"/>
            </c:ext>
          </c:extLst>
        </c:ser>
        <c:dLbls>
          <c:showLegendKey val="0"/>
          <c:showVal val="0"/>
          <c:showCatName val="0"/>
          <c:showSerName val="0"/>
          <c:showPercent val="0"/>
          <c:showBubbleSize val="0"/>
        </c:dLbls>
        <c:axId val="640105352"/>
        <c:axId val="640105744"/>
      </c:scatterChart>
      <c:valAx>
        <c:axId val="6401053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105744"/>
        <c:crosses val="autoZero"/>
        <c:crossBetween val="midCat"/>
      </c:valAx>
      <c:valAx>
        <c:axId val="6401057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1053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u="none" strike="noStrike" baseline="0">
                <a:solidFill>
                  <a:sysClr val="windowText" lastClr="000000"/>
                </a:solidFill>
                <a:effectLst/>
                <a:latin typeface="+mn-lt"/>
              </a:rPr>
              <a:t>1a Washwater from floor wash with 1% Dawn </a:t>
            </a:r>
            <a:r>
              <a:rPr lang="en-US" sz="1050" b="0" i="0" u="none" strike="noStrike" baseline="0">
                <a:effectLst/>
              </a:rPr>
              <a:t>22 °C, pH = 9.47</a:t>
            </a:r>
            <a:r>
              <a:rPr lang="en-US" sz="1050" b="0" i="0" u="none" strike="noStrike" baseline="0">
                <a:solidFill>
                  <a:sysClr val="windowText" lastClr="000000"/>
                </a:solidFill>
                <a:latin typeface="+mn-lt"/>
              </a:rPr>
              <a:t> </a:t>
            </a:r>
            <a:endParaRPr lang="en-US" sz="1050" b="0">
              <a:solidFill>
                <a:sysClr val="windowText" lastClr="000000"/>
              </a:solidFill>
              <a:latin typeface="+mn-l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886498881561429E-2"/>
          <c:y val="0.11986072040564487"/>
          <c:w val="0.86177315436858148"/>
          <c:h val="0.73995391462508842"/>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'1a'!$P$19:$P$20</c:f>
              <c:numCache>
                <c:formatCode>#,##0</c:formatCode>
                <c:ptCount val="2"/>
                <c:pt idx="0">
                  <c:v>0</c:v>
                </c:pt>
                <c:pt idx="1">
                  <c:v>8571.4285714285725</c:v>
                </c:pt>
              </c:numCache>
            </c:numRef>
          </c:xVal>
          <c:yVal>
            <c:numRef>
              <c:f>'1a'!$J$19:$J$20</c:f>
              <c:numCache>
                <c:formatCode>0.0</c:formatCode>
                <c:ptCount val="2"/>
                <c:pt idx="0">
                  <c:v>0</c:v>
                </c:pt>
                <c:pt idx="1">
                  <c:v>1.7289332277134619</c:v>
                </c:pt>
              </c:numCache>
            </c:numRef>
          </c:yVal>
          <c:smooth val="0"/>
          <c:extLst>
            <c:ext xmlns:c16="http://schemas.microsoft.com/office/drawing/2014/chart" uri="{C3380CC4-5D6E-409C-BE32-E72D297353CC}">
              <c16:uniqueId val="{00000000-AAFE-4CB0-9D87-CA9602A2003A}"/>
            </c:ext>
          </c:extLst>
        </c:ser>
        <c:dLbls>
          <c:showLegendKey val="0"/>
          <c:showVal val="0"/>
          <c:showCatName val="0"/>
          <c:showSerName val="0"/>
          <c:showPercent val="0"/>
          <c:showBubbleSize val="0"/>
        </c:dLbls>
        <c:axId val="652650160"/>
        <c:axId val="652650552"/>
      </c:scatterChart>
      <c:valAx>
        <c:axId val="6526501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650552"/>
        <c:crosses val="autoZero"/>
        <c:crossBetween val="midCat"/>
      </c:valAx>
      <c:valAx>
        <c:axId val="652650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6501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kern="1200" spc="0" baseline="0">
                <a:solidFill>
                  <a:sysClr val="windowText" lastClr="000000"/>
                </a:solidFill>
                <a:effectLst/>
              </a:rPr>
              <a:t>1b Washwater from floor wash with 1% Dawn, 21 °C, pH = 9.23 </a:t>
            </a:r>
            <a:endParaRPr lang="en-US" sz="105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5129777381526394E-2"/>
          <c:y val="9.5083333333333339E-2"/>
          <c:w val="0.87166596459930223"/>
          <c:h val="0.8082572178477690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'1b'!$P$19:$P$23</c:f>
              <c:numCache>
                <c:formatCode>#,##0</c:formatCode>
                <c:ptCount val="5"/>
                <c:pt idx="0">
                  <c:v>0</c:v>
                </c:pt>
                <c:pt idx="1">
                  <c:v>8571.4285714285725</c:v>
                </c:pt>
                <c:pt idx="2">
                  <c:v>14285.714285714286</c:v>
                </c:pt>
                <c:pt idx="3">
                  <c:v>28571.428571428572</c:v>
                </c:pt>
                <c:pt idx="4">
                  <c:v>42857.142857142862</c:v>
                </c:pt>
              </c:numCache>
            </c:numRef>
          </c:xVal>
          <c:yVal>
            <c:numRef>
              <c:f>'1b'!$J$19:$J$23</c:f>
              <c:numCache>
                <c:formatCode>0.0</c:formatCode>
                <c:ptCount val="5"/>
                <c:pt idx="0">
                  <c:v>0</c:v>
                </c:pt>
                <c:pt idx="1">
                  <c:v>1.7403626894942441</c:v>
                </c:pt>
                <c:pt idx="2">
                  <c:v>3.865301426102544</c:v>
                </c:pt>
                <c:pt idx="3">
                  <c:v>5.3424226808222066</c:v>
                </c:pt>
                <c:pt idx="4">
                  <c:v>4.865301426102544</c:v>
                </c:pt>
              </c:numCache>
            </c:numRef>
          </c:yVal>
          <c:smooth val="0"/>
          <c:extLst>
            <c:ext xmlns:c16="http://schemas.microsoft.com/office/drawing/2014/chart" uri="{C3380CC4-5D6E-409C-BE32-E72D297353CC}">
              <c16:uniqueId val="{00000000-BC7F-4A82-908F-8D09C066D5D5}"/>
            </c:ext>
          </c:extLst>
        </c:ser>
        <c:dLbls>
          <c:showLegendKey val="0"/>
          <c:showVal val="0"/>
          <c:showCatName val="0"/>
          <c:showSerName val="0"/>
          <c:showPercent val="0"/>
          <c:showBubbleSize val="0"/>
        </c:dLbls>
        <c:axId val="652651336"/>
        <c:axId val="652651728"/>
      </c:scatterChart>
      <c:valAx>
        <c:axId val="6526513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651728"/>
        <c:crosses val="autoZero"/>
        <c:crossBetween val="midCat"/>
      </c:valAx>
      <c:valAx>
        <c:axId val="6526517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6513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kern="1200" spc="0" baseline="0">
                <a:solidFill>
                  <a:srgbClr val="000000"/>
                </a:solidFill>
                <a:effectLst/>
              </a:rPr>
              <a:t>1c Washwater from floor wash with 1% Dawn, 20 °C, pH = 9.30 </a:t>
            </a:r>
            <a:endParaRPr lang="en-US" sz="105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'1c'!$P$19:$P$21</c:f>
              <c:numCache>
                <c:formatCode>#,##0</c:formatCode>
                <c:ptCount val="3"/>
                <c:pt idx="0">
                  <c:v>0</c:v>
                </c:pt>
                <c:pt idx="1">
                  <c:v>8571.4285714285725</c:v>
                </c:pt>
                <c:pt idx="2">
                  <c:v>14285.714285714286</c:v>
                </c:pt>
              </c:numCache>
            </c:numRef>
          </c:xVal>
          <c:yVal>
            <c:numRef>
              <c:f>'1c'!$J$19:$J$21</c:f>
              <c:numCache>
                <c:formatCode>0.0</c:formatCode>
                <c:ptCount val="3"/>
                <c:pt idx="0">
                  <c:v>0</c:v>
                </c:pt>
                <c:pt idx="1">
                  <c:v>1.7917240575729174</c:v>
                </c:pt>
                <c:pt idx="2">
                  <c:v>3.8129133566428557</c:v>
                </c:pt>
              </c:numCache>
            </c:numRef>
          </c:yVal>
          <c:smooth val="0"/>
          <c:extLst>
            <c:ext xmlns:c16="http://schemas.microsoft.com/office/drawing/2014/chart" uri="{C3380CC4-5D6E-409C-BE32-E72D297353CC}">
              <c16:uniqueId val="{00000000-917B-4291-9049-1BBE1215169F}"/>
            </c:ext>
          </c:extLst>
        </c:ser>
        <c:dLbls>
          <c:showLegendKey val="0"/>
          <c:showVal val="0"/>
          <c:showCatName val="0"/>
          <c:showSerName val="0"/>
          <c:showPercent val="0"/>
          <c:showBubbleSize val="0"/>
        </c:dLbls>
        <c:axId val="652652512"/>
        <c:axId val="652652904"/>
      </c:scatterChart>
      <c:valAx>
        <c:axId val="6526525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652904"/>
        <c:crosses val="autoZero"/>
        <c:crossBetween val="midCat"/>
      </c:valAx>
      <c:valAx>
        <c:axId val="6526529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6525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kern="1200" spc="0" baseline="0">
                <a:solidFill>
                  <a:srgbClr val="0000CC"/>
                </a:solidFill>
                <a:effectLst/>
              </a:rPr>
              <a:t>12a Washwater from floor wash with 1% Alconox 5 °C, pH = 9.08 </a:t>
            </a:r>
            <a:endParaRPr lang="en-US" sz="1050">
              <a:solidFill>
                <a:srgbClr val="0000CC"/>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408672658729044E-2"/>
          <c:y val="0.10130608989037766"/>
          <c:w val="0.8730868550543851"/>
          <c:h val="0.80400713353458664"/>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9238717387874797"/>
                  <c:y val="-5.114734014226574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'12a'!$P$19:$P$21</c:f>
              <c:numCache>
                <c:formatCode>#,##0</c:formatCode>
                <c:ptCount val="3"/>
                <c:pt idx="0">
                  <c:v>0</c:v>
                </c:pt>
                <c:pt idx="1">
                  <c:v>8571.4285714285725</c:v>
                </c:pt>
                <c:pt idx="2">
                  <c:v>14285.714285714286</c:v>
                </c:pt>
              </c:numCache>
            </c:numRef>
          </c:xVal>
          <c:yVal>
            <c:numRef>
              <c:f>'12a'!$J$19:$J$21</c:f>
              <c:numCache>
                <c:formatCode>0.0</c:formatCode>
                <c:ptCount val="3"/>
                <c:pt idx="0">
                  <c:v>0</c:v>
                </c:pt>
                <c:pt idx="1">
                  <c:v>0.49485002168009373</c:v>
                </c:pt>
                <c:pt idx="2">
                  <c:v>2.4948500216800937</c:v>
                </c:pt>
              </c:numCache>
            </c:numRef>
          </c:yVal>
          <c:smooth val="0"/>
          <c:extLst>
            <c:ext xmlns:c16="http://schemas.microsoft.com/office/drawing/2014/chart" uri="{C3380CC4-5D6E-409C-BE32-E72D297353CC}">
              <c16:uniqueId val="{00000000-FA32-41AD-B7F5-E4037751684F}"/>
            </c:ext>
          </c:extLst>
        </c:ser>
        <c:dLbls>
          <c:showLegendKey val="0"/>
          <c:showVal val="0"/>
          <c:showCatName val="0"/>
          <c:showSerName val="0"/>
          <c:showPercent val="0"/>
          <c:showBubbleSize val="0"/>
        </c:dLbls>
        <c:axId val="650470488"/>
        <c:axId val="650470880"/>
      </c:scatterChart>
      <c:valAx>
        <c:axId val="6504704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470880"/>
        <c:crosses val="autoZero"/>
        <c:crossBetween val="midCat"/>
      </c:valAx>
      <c:valAx>
        <c:axId val="6504708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4704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kern="1200" spc="0" baseline="0">
                <a:solidFill>
                  <a:srgbClr val="0000CC"/>
                </a:solidFill>
                <a:effectLst/>
              </a:rPr>
              <a:t>12c Washwater from floor wash with 1% Alconox 5 °C, pH = 9.53 </a:t>
            </a:r>
            <a:endParaRPr lang="en-US" sz="1050">
              <a:effectLst/>
            </a:endParaRPr>
          </a:p>
        </c:rich>
      </c:tx>
      <c:layout>
        <c:manualLayout>
          <c:xMode val="edge"/>
          <c:yMode val="edge"/>
          <c:x val="0.1418067922771947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063595425838037"/>
          <c:y val="9.5083364528662909E-2"/>
          <c:w val="0.7889977118998196"/>
          <c:h val="0.77823614771527161"/>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39890614542600789"/>
                  <c:y val="-1.0809714832583606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'12b'!$P$19:$P$24</c:f>
              <c:numCache>
                <c:formatCode>#,##0</c:formatCode>
                <c:ptCount val="6"/>
                <c:pt idx="0">
                  <c:v>0</c:v>
                </c:pt>
                <c:pt idx="1">
                  <c:v>8571.4285714285725</c:v>
                </c:pt>
                <c:pt idx="2">
                  <c:v>14285.714285714286</c:v>
                </c:pt>
                <c:pt idx="3">
                  <c:v>28571.428571428572</c:v>
                </c:pt>
                <c:pt idx="4">
                  <c:v>42857.142857142862</c:v>
                </c:pt>
                <c:pt idx="5">
                  <c:v>85714.285714285725</c:v>
                </c:pt>
              </c:numCache>
            </c:numRef>
          </c:xVal>
          <c:yVal>
            <c:numRef>
              <c:f>'12b'!$J$19:$J$25</c:f>
              <c:numCache>
                <c:formatCode>0.0</c:formatCode>
                <c:ptCount val="7"/>
                <c:pt idx="0">
                  <c:v>0</c:v>
                </c:pt>
                <c:pt idx="1">
                  <c:v>0.68257958814785002</c:v>
                </c:pt>
                <c:pt idx="2">
                  <c:v>2.1454604037529021</c:v>
                </c:pt>
                <c:pt idx="3">
                  <c:v>4.0347621062592118</c:v>
                </c:pt>
                <c:pt idx="4">
                  <c:v>4.5914991188005168</c:v>
                </c:pt>
                <c:pt idx="5">
                  <c:v>4.7160033436347994</c:v>
                </c:pt>
                <c:pt idx="6">
                  <c:v>5.1139433523068369</c:v>
                </c:pt>
              </c:numCache>
            </c:numRef>
          </c:yVal>
          <c:smooth val="0"/>
          <c:extLst>
            <c:ext xmlns:c16="http://schemas.microsoft.com/office/drawing/2014/chart" uri="{C3380CC4-5D6E-409C-BE32-E72D297353CC}">
              <c16:uniqueId val="{00000000-37C8-4D67-A43F-5DF45DBDE288}"/>
            </c:ext>
          </c:extLst>
        </c:ser>
        <c:dLbls>
          <c:showLegendKey val="0"/>
          <c:showVal val="0"/>
          <c:showCatName val="0"/>
          <c:showSerName val="0"/>
          <c:showPercent val="0"/>
          <c:showBubbleSize val="0"/>
        </c:dLbls>
        <c:axId val="650471664"/>
        <c:axId val="650472056"/>
      </c:scatterChart>
      <c:valAx>
        <c:axId val="6504716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472056"/>
        <c:crosses val="autoZero"/>
        <c:crossBetween val="midCat"/>
      </c:valAx>
      <c:valAx>
        <c:axId val="650472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4716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kern="1200" spc="0" baseline="0">
                <a:solidFill>
                  <a:srgbClr val="0000CC"/>
                </a:solidFill>
                <a:effectLst/>
              </a:rPr>
              <a:t>12c Washwater from floor wash with 1% Alconox 5 °C, pH = 10.475 </a:t>
            </a:r>
            <a:endParaRPr lang="en-US" sz="105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8511042832327"/>
          <c:y val="0.10362540714450719"/>
          <c:w val="0.82142218972762426"/>
          <c:h val="0.71816735910595852"/>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'12c'!$P$19:$P$21</c:f>
              <c:numCache>
                <c:formatCode>#,##0</c:formatCode>
                <c:ptCount val="3"/>
                <c:pt idx="0">
                  <c:v>0</c:v>
                </c:pt>
                <c:pt idx="1">
                  <c:v>8571.4285714285725</c:v>
                </c:pt>
                <c:pt idx="2">
                  <c:v>14285.714285714286</c:v>
                </c:pt>
              </c:numCache>
            </c:numRef>
          </c:xVal>
          <c:yVal>
            <c:numRef>
              <c:f>'12c'!$J$19:$J$21</c:f>
              <c:numCache>
                <c:formatCode>0.0</c:formatCode>
                <c:ptCount val="3"/>
                <c:pt idx="0">
                  <c:v>0</c:v>
                </c:pt>
                <c:pt idx="1">
                  <c:v>0.58317464716758938</c:v>
                </c:pt>
                <c:pt idx="2">
                  <c:v>2.3157532524846882</c:v>
                </c:pt>
              </c:numCache>
            </c:numRef>
          </c:yVal>
          <c:smooth val="0"/>
          <c:extLst>
            <c:ext xmlns:c16="http://schemas.microsoft.com/office/drawing/2014/chart" uri="{C3380CC4-5D6E-409C-BE32-E72D297353CC}">
              <c16:uniqueId val="{00000000-D697-42B0-9595-3DDD45253F9B}"/>
            </c:ext>
          </c:extLst>
        </c:ser>
        <c:dLbls>
          <c:showLegendKey val="0"/>
          <c:showVal val="0"/>
          <c:showCatName val="0"/>
          <c:showSerName val="0"/>
          <c:showPercent val="0"/>
          <c:showBubbleSize val="0"/>
        </c:dLbls>
        <c:axId val="650472840"/>
        <c:axId val="650473232"/>
      </c:scatterChart>
      <c:valAx>
        <c:axId val="6504728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473232"/>
        <c:crosses val="autoZero"/>
        <c:crossBetween val="midCat"/>
      </c:valAx>
      <c:valAx>
        <c:axId val="650473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4728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baseline="0">
                <a:effectLst/>
              </a:rPr>
              <a:t>7b PPE washwater w/MHRW, 1% Alconox Log Inactivation vs. CT, 23°C, pH =9.0</a:t>
            </a:r>
            <a:endParaRPr lang="en-US" sz="1100" baseline="0">
              <a:effectLst/>
            </a:endParaRP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539370078740152E-2"/>
          <c:y val="0.13278044207058823"/>
          <c:w val="0.85026113811330639"/>
          <c:h val="0.74487704989745107"/>
        </c:manualLayout>
      </c:layout>
      <c:scatterChart>
        <c:scatterStyle val="lineMarker"/>
        <c:varyColors val="0"/>
        <c:ser>
          <c:idx val="1"/>
          <c:order val="0"/>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intercept val="0"/>
            <c:dispRSqr val="0"/>
            <c:dispEq val="0"/>
          </c:trendline>
          <c:trendline>
            <c:spPr>
              <a:ln w="19050" cap="rnd">
                <a:solidFill>
                  <a:schemeClr val="accent2"/>
                </a:solidFill>
                <a:prstDash val="sysDot"/>
              </a:ln>
              <a:effectLst/>
            </c:spPr>
            <c:trendlineType val="linear"/>
            <c:intercept val="0"/>
            <c:dispRSqr val="1"/>
            <c:dispEq val="1"/>
            <c:trendlineLbl>
              <c:layout>
                <c:manualLayout>
                  <c:x val="-0.1539943377214823"/>
                  <c:y val="-6.2119553894533939E-3"/>
                </c:manualLayout>
              </c:layout>
              <c:numFmt formatCode="0.0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'7b'!$P$19:$P$20</c:f>
              <c:numCache>
                <c:formatCode>#,##0</c:formatCode>
                <c:ptCount val="2"/>
                <c:pt idx="0">
                  <c:v>0</c:v>
                </c:pt>
                <c:pt idx="1">
                  <c:v>8571.4285714285725</c:v>
                </c:pt>
              </c:numCache>
            </c:numRef>
          </c:xVal>
          <c:yVal>
            <c:numRef>
              <c:f>'7b'!$J$19:$J$20</c:f>
              <c:numCache>
                <c:formatCode>General</c:formatCode>
                <c:ptCount val="2"/>
                <c:pt idx="0">
                  <c:v>0</c:v>
                </c:pt>
                <c:pt idx="1">
                  <c:v>3.59</c:v>
                </c:pt>
              </c:numCache>
            </c:numRef>
          </c:yVal>
          <c:smooth val="0"/>
          <c:extLst>
            <c:ext xmlns:c16="http://schemas.microsoft.com/office/drawing/2014/chart" uri="{C3380CC4-5D6E-409C-BE32-E72D297353CC}">
              <c16:uniqueId val="{00000000-5825-4215-ABE8-C30AA9D2161E}"/>
            </c:ext>
          </c:extLst>
        </c:ser>
        <c:dLbls>
          <c:showLegendKey val="0"/>
          <c:showVal val="0"/>
          <c:showCatName val="0"/>
          <c:showSerName val="0"/>
          <c:showPercent val="0"/>
          <c:showBubbleSize val="0"/>
        </c:dLbls>
        <c:axId val="639306744"/>
        <c:axId val="639307136"/>
      </c:scatterChart>
      <c:valAx>
        <c:axId val="6393067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CT, mg/L∙min</a:t>
                </a:r>
              </a:p>
            </c:rich>
          </c:tx>
          <c:layout>
            <c:manualLayout>
              <c:xMode val="edge"/>
              <c:yMode val="edge"/>
              <c:x val="0.4457415628855021"/>
              <c:y val="0.946058221975334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307136"/>
        <c:crosses val="autoZero"/>
        <c:crossBetween val="midCat"/>
      </c:valAx>
      <c:valAx>
        <c:axId val="639307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3067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kern="1200" spc="0" baseline="0">
                <a:solidFill>
                  <a:srgbClr val="0000CC"/>
                </a:solidFill>
                <a:effectLst/>
              </a:rPr>
              <a:t>16a PPE washwate w/Cinti tap water with 1% Alconox 4 °C, </a:t>
            </a:r>
          </a:p>
          <a:p>
            <a:pPr>
              <a:defRPr/>
            </a:pPr>
            <a:r>
              <a:rPr lang="en-US" sz="1050" b="0" i="0" kern="1200" spc="0" baseline="0">
                <a:solidFill>
                  <a:srgbClr val="0000CC"/>
                </a:solidFill>
                <a:effectLst/>
              </a:rPr>
              <a:t>pH = 6.94</a:t>
            </a:r>
            <a:r>
              <a:rPr lang="en-US" sz="1400" b="0" i="0" kern="1200" spc="0" baseline="0">
                <a:solidFill>
                  <a:srgbClr val="0000CC"/>
                </a:solidFill>
                <a:effectLst/>
              </a:rPr>
              <a:t> </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73879960902033"/>
          <c:y val="0.16174527126449595"/>
          <c:w val="0.80176897060858021"/>
          <c:h val="0.6728848859089828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256747808121209"/>
                  <c:y val="7.3358098858390007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'16a'!$P$19:$P$21</c:f>
              <c:numCache>
                <c:formatCode>#,##0</c:formatCode>
                <c:ptCount val="3"/>
                <c:pt idx="0">
                  <c:v>0</c:v>
                </c:pt>
                <c:pt idx="1">
                  <c:v>8571.4285714285725</c:v>
                </c:pt>
                <c:pt idx="2">
                  <c:v>14285.714285714286</c:v>
                </c:pt>
              </c:numCache>
            </c:numRef>
          </c:xVal>
          <c:yVal>
            <c:numRef>
              <c:f>'16a'!$J$19:$J$21</c:f>
              <c:numCache>
                <c:formatCode>0.0</c:formatCode>
                <c:ptCount val="3"/>
                <c:pt idx="0">
                  <c:v>0</c:v>
                </c:pt>
                <c:pt idx="1">
                  <c:v>1.7134746932195988</c:v>
                </c:pt>
                <c:pt idx="2">
                  <c:v>3.3622036014278569</c:v>
                </c:pt>
              </c:numCache>
            </c:numRef>
          </c:yVal>
          <c:smooth val="0"/>
          <c:extLst>
            <c:ext xmlns:c16="http://schemas.microsoft.com/office/drawing/2014/chart" uri="{C3380CC4-5D6E-409C-BE32-E72D297353CC}">
              <c16:uniqueId val="{00000000-C103-42FD-BCB5-E5B85B04F1B5}"/>
            </c:ext>
          </c:extLst>
        </c:ser>
        <c:dLbls>
          <c:showLegendKey val="0"/>
          <c:showVal val="0"/>
          <c:showCatName val="0"/>
          <c:showSerName val="0"/>
          <c:showPercent val="0"/>
          <c:showBubbleSize val="0"/>
        </c:dLbls>
        <c:axId val="650474016"/>
        <c:axId val="634412376"/>
      </c:scatterChart>
      <c:valAx>
        <c:axId val="6504740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Cl2/L)∙min)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412376"/>
        <c:crosses val="autoZero"/>
        <c:crossBetween val="midCat"/>
      </c:valAx>
      <c:valAx>
        <c:axId val="634412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4740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kern="1200" spc="0" baseline="0">
                <a:solidFill>
                  <a:srgbClr val="0000CC"/>
                </a:solidFill>
                <a:effectLst/>
              </a:rPr>
              <a:t>16b PPE washwate w/Cinti tap water with 1% Alconox 4 °C, </a:t>
            </a:r>
            <a:endParaRPr lang="en-US" sz="1050">
              <a:effectLst/>
            </a:endParaRPr>
          </a:p>
          <a:p>
            <a:pPr>
              <a:defRPr/>
            </a:pPr>
            <a:r>
              <a:rPr lang="en-US" sz="1050" b="0" i="0" kern="1200" spc="0" baseline="0">
                <a:solidFill>
                  <a:srgbClr val="0000CC"/>
                </a:solidFill>
                <a:effectLst/>
              </a:rPr>
              <a:t>pH =9.53 </a:t>
            </a:r>
            <a:endParaRPr lang="en-US" sz="1050">
              <a:effectLst/>
            </a:endParaRPr>
          </a:p>
        </c:rich>
      </c:tx>
      <c:layout>
        <c:manualLayout>
          <c:xMode val="edge"/>
          <c:yMode val="edge"/>
          <c:x val="0.13999981084762478"/>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252565269116542"/>
          <c:y val="0.13748745392467535"/>
          <c:w val="0.79618237720106821"/>
          <c:h val="0.6565443396929335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'16b'!$P$19:$P$22</c:f>
              <c:numCache>
                <c:formatCode>#,##0</c:formatCode>
                <c:ptCount val="4"/>
                <c:pt idx="0">
                  <c:v>0</c:v>
                </c:pt>
                <c:pt idx="1">
                  <c:v>8571.4285714285725</c:v>
                </c:pt>
                <c:pt idx="2">
                  <c:v>14285.714285714286</c:v>
                </c:pt>
                <c:pt idx="3">
                  <c:v>28571.428571428572</c:v>
                </c:pt>
              </c:numCache>
            </c:numRef>
          </c:xVal>
          <c:yVal>
            <c:numRef>
              <c:f>'16b'!$J$19:$J$22</c:f>
              <c:numCache>
                <c:formatCode>0.0</c:formatCode>
                <c:ptCount val="4"/>
                <c:pt idx="0">
                  <c:v>0</c:v>
                </c:pt>
                <c:pt idx="1">
                  <c:v>1.4088130392659997</c:v>
                </c:pt>
                <c:pt idx="2">
                  <c:v>3.1461280356782382</c:v>
                </c:pt>
                <c:pt idx="3">
                  <c:v>4.5611013836490564</c:v>
                </c:pt>
              </c:numCache>
            </c:numRef>
          </c:yVal>
          <c:smooth val="0"/>
          <c:extLst>
            <c:ext xmlns:c16="http://schemas.microsoft.com/office/drawing/2014/chart" uri="{C3380CC4-5D6E-409C-BE32-E72D297353CC}">
              <c16:uniqueId val="{00000000-BF9D-4195-B29A-E0E099B3EE34}"/>
            </c:ext>
          </c:extLst>
        </c:ser>
        <c:dLbls>
          <c:showLegendKey val="0"/>
          <c:showVal val="0"/>
          <c:showCatName val="0"/>
          <c:showSerName val="0"/>
          <c:showPercent val="0"/>
          <c:showBubbleSize val="0"/>
        </c:dLbls>
        <c:axId val="634413160"/>
        <c:axId val="634413552"/>
      </c:scatterChart>
      <c:valAx>
        <c:axId val="634413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413552"/>
        <c:crosses val="autoZero"/>
        <c:crossBetween val="midCat"/>
      </c:valAx>
      <c:valAx>
        <c:axId val="634413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4131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0" i="0" kern="1200" spc="0" baseline="0">
                <a:solidFill>
                  <a:srgbClr val="0000CC"/>
                </a:solidFill>
                <a:effectLst/>
              </a:rPr>
              <a:t>16cR PPE washwater w/Cinti tap water with 1% Alconox 4 °C, </a:t>
            </a:r>
            <a:endParaRPr lang="en-US" sz="1050">
              <a:effectLst/>
            </a:endParaRPr>
          </a:p>
          <a:p>
            <a:pPr>
              <a:defRPr/>
            </a:pPr>
            <a:r>
              <a:rPr lang="en-US" sz="1050" b="0" i="0" kern="1200" spc="0" baseline="0">
                <a:solidFill>
                  <a:srgbClr val="0000CC"/>
                </a:solidFill>
                <a:effectLst/>
              </a:rPr>
              <a:t>pH =9.95</a:t>
            </a:r>
            <a:endParaRPr lang="en-US" sz="1050">
              <a:effectLst/>
            </a:endParaRPr>
          </a:p>
        </c:rich>
      </c:tx>
      <c:layout>
        <c:manualLayout>
          <c:xMode val="edge"/>
          <c:yMode val="edge"/>
          <c:x val="0.15847757851528141"/>
          <c:y val="5.56629368116094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'16cR'!$P$19:$P$21</c:f>
              <c:numCache>
                <c:formatCode>#,##0</c:formatCode>
                <c:ptCount val="3"/>
                <c:pt idx="0">
                  <c:v>0</c:v>
                </c:pt>
                <c:pt idx="1">
                  <c:v>8571.4285714285725</c:v>
                </c:pt>
                <c:pt idx="2">
                  <c:v>14285.714285714286</c:v>
                </c:pt>
              </c:numCache>
            </c:numRef>
          </c:xVal>
          <c:yVal>
            <c:numRef>
              <c:f>'16cR'!$J$19:$J$21</c:f>
              <c:numCache>
                <c:formatCode>0.0</c:formatCode>
                <c:ptCount val="3"/>
                <c:pt idx="0">
                  <c:v>0</c:v>
                </c:pt>
                <c:pt idx="1">
                  <c:v>1.4552700894074677</c:v>
                </c:pt>
                <c:pt idx="2">
                  <c:v>2.1586717085425615</c:v>
                </c:pt>
              </c:numCache>
            </c:numRef>
          </c:yVal>
          <c:smooth val="0"/>
          <c:extLst>
            <c:ext xmlns:c16="http://schemas.microsoft.com/office/drawing/2014/chart" uri="{C3380CC4-5D6E-409C-BE32-E72D297353CC}">
              <c16:uniqueId val="{00000000-C4DD-4C8B-AA5D-F33704DFDC06}"/>
            </c:ext>
          </c:extLst>
        </c:ser>
        <c:dLbls>
          <c:showLegendKey val="0"/>
          <c:showVal val="0"/>
          <c:showCatName val="0"/>
          <c:showSerName val="0"/>
          <c:showPercent val="0"/>
          <c:showBubbleSize val="0"/>
        </c:dLbls>
        <c:axId val="634415512"/>
        <c:axId val="634415904"/>
      </c:scatterChart>
      <c:valAx>
        <c:axId val="6344155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415904"/>
        <c:crosses val="autoZero"/>
        <c:crossBetween val="midCat"/>
      </c:valAx>
      <c:valAx>
        <c:axId val="634415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4155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baseline="0">
                <a:solidFill>
                  <a:sysClr val="windowText" lastClr="000000"/>
                </a:solidFill>
                <a:effectLst/>
              </a:rPr>
              <a:t>5a PPE washwater w/Cinti tap water with 1% Alconox 20 °C, </a:t>
            </a:r>
            <a:endParaRPr lang="en-US" sz="1100">
              <a:solidFill>
                <a:sysClr val="windowText" lastClr="000000"/>
              </a:solidFill>
              <a:effectLst/>
            </a:endParaRPr>
          </a:p>
          <a:p>
            <a:pPr>
              <a:defRPr/>
            </a:pPr>
            <a:r>
              <a:rPr lang="en-US" sz="1100" b="0" i="0" baseline="0">
                <a:solidFill>
                  <a:sysClr val="windowText" lastClr="000000"/>
                </a:solidFill>
                <a:effectLst/>
              </a:rPr>
              <a:t>pH =9.29</a:t>
            </a:r>
            <a:endParaRPr lang="en-US"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'5a'!$P$19:$P$22</c:f>
              <c:numCache>
                <c:formatCode>#,##0</c:formatCode>
                <c:ptCount val="4"/>
                <c:pt idx="0">
                  <c:v>0</c:v>
                </c:pt>
                <c:pt idx="1">
                  <c:v>8571.4285714285725</c:v>
                </c:pt>
                <c:pt idx="2">
                  <c:v>14285.714285714286</c:v>
                </c:pt>
                <c:pt idx="3">
                  <c:v>28571.428571428572</c:v>
                </c:pt>
              </c:numCache>
            </c:numRef>
          </c:xVal>
          <c:yVal>
            <c:numRef>
              <c:f>'5a'!$J$19:$J$22</c:f>
              <c:numCache>
                <c:formatCode>0.0</c:formatCode>
                <c:ptCount val="4"/>
                <c:pt idx="0">
                  <c:v>0</c:v>
                </c:pt>
                <c:pt idx="1">
                  <c:v>1.1646992752246899</c:v>
                </c:pt>
                <c:pt idx="2">
                  <c:v>4.0504317015650546</c:v>
                </c:pt>
                <c:pt idx="3" formatCode="0.00">
                  <c:v>5.0014452408741805</c:v>
                </c:pt>
              </c:numCache>
            </c:numRef>
          </c:yVal>
          <c:smooth val="0"/>
          <c:extLst>
            <c:ext xmlns:c16="http://schemas.microsoft.com/office/drawing/2014/chart" uri="{C3380CC4-5D6E-409C-BE32-E72D297353CC}">
              <c16:uniqueId val="{00000000-5B8A-4ECE-A37F-FEED40740192}"/>
            </c:ext>
          </c:extLst>
        </c:ser>
        <c:dLbls>
          <c:showLegendKey val="0"/>
          <c:showVal val="0"/>
          <c:showCatName val="0"/>
          <c:showSerName val="0"/>
          <c:showPercent val="0"/>
          <c:showBubbleSize val="0"/>
        </c:dLbls>
        <c:axId val="651731328"/>
        <c:axId val="651731720"/>
      </c:scatterChart>
      <c:valAx>
        <c:axId val="6517313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731720"/>
        <c:crosses val="autoZero"/>
        <c:crossBetween val="midCat"/>
      </c:valAx>
      <c:valAx>
        <c:axId val="651731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7313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00"/>
                </a:solidFill>
                <a:effectLst/>
              </a:rPr>
              <a:t>5b PPE washwater w/Cinti tap water with 1% Alconox 20 °C, </a:t>
            </a:r>
            <a:endParaRPr lang="en-US" sz="1100">
              <a:effectLst/>
            </a:endParaRPr>
          </a:p>
          <a:p>
            <a:pPr>
              <a:defRPr/>
            </a:pPr>
            <a:r>
              <a:rPr lang="en-US" sz="1100" b="0" i="0" kern="1200" spc="0" baseline="0">
                <a:solidFill>
                  <a:srgbClr val="000000"/>
                </a:solidFill>
                <a:effectLst/>
              </a:rPr>
              <a:t>pH =9.235</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'5b'!$P$19:$P$21</c:f>
              <c:numCache>
                <c:formatCode>#,##0</c:formatCode>
                <c:ptCount val="3"/>
                <c:pt idx="0">
                  <c:v>0</c:v>
                </c:pt>
                <c:pt idx="1">
                  <c:v>8571.4285714285725</c:v>
                </c:pt>
                <c:pt idx="2">
                  <c:v>14285.714285714286</c:v>
                </c:pt>
              </c:numCache>
            </c:numRef>
          </c:xVal>
          <c:yVal>
            <c:numRef>
              <c:f>'5b'!$J$19:$J$21</c:f>
              <c:numCache>
                <c:formatCode>0.0</c:formatCode>
                <c:ptCount val="3"/>
                <c:pt idx="0">
                  <c:v>0</c:v>
                </c:pt>
                <c:pt idx="1">
                  <c:v>3.2695407399542313</c:v>
                </c:pt>
                <c:pt idx="2">
                  <c:v>5.3726341434072671</c:v>
                </c:pt>
              </c:numCache>
            </c:numRef>
          </c:yVal>
          <c:smooth val="0"/>
          <c:extLst>
            <c:ext xmlns:c16="http://schemas.microsoft.com/office/drawing/2014/chart" uri="{C3380CC4-5D6E-409C-BE32-E72D297353CC}">
              <c16:uniqueId val="{00000000-1647-479A-8D0D-2EF676F911B8}"/>
            </c:ext>
          </c:extLst>
        </c:ser>
        <c:dLbls>
          <c:showLegendKey val="0"/>
          <c:showVal val="0"/>
          <c:showCatName val="0"/>
          <c:showSerName val="0"/>
          <c:showPercent val="0"/>
          <c:showBubbleSize val="0"/>
        </c:dLbls>
        <c:axId val="651732504"/>
        <c:axId val="651732896"/>
      </c:scatterChart>
      <c:valAx>
        <c:axId val="6517325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732896"/>
        <c:crosses val="autoZero"/>
        <c:crossBetween val="midCat"/>
      </c:valAx>
      <c:valAx>
        <c:axId val="651732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7325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00"/>
                </a:solidFill>
                <a:effectLst/>
              </a:rPr>
              <a:t>5c PPE washwater w/Cinti tap water with 1% Alconox 20 °C,</a:t>
            </a:r>
          </a:p>
          <a:p>
            <a:pPr>
              <a:defRPr/>
            </a:pPr>
            <a:r>
              <a:rPr lang="en-US" sz="1100" b="0" i="0" kern="1200" spc="0" baseline="0">
                <a:solidFill>
                  <a:srgbClr val="000000"/>
                </a:solidFill>
                <a:effectLst/>
              </a:rPr>
              <a:t> pH =9.235</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'5c'!$P$19:$P$21</c:f>
              <c:numCache>
                <c:formatCode>#,##0</c:formatCode>
                <c:ptCount val="3"/>
                <c:pt idx="0">
                  <c:v>0</c:v>
                </c:pt>
                <c:pt idx="1">
                  <c:v>8571.4285714285725</c:v>
                </c:pt>
                <c:pt idx="2">
                  <c:v>14285.714285714286</c:v>
                </c:pt>
              </c:numCache>
            </c:numRef>
          </c:xVal>
          <c:yVal>
            <c:numRef>
              <c:f>'5c'!$J$19:$J$21</c:f>
              <c:numCache>
                <c:formatCode>0.0</c:formatCode>
                <c:ptCount val="3"/>
                <c:pt idx="0">
                  <c:v>0</c:v>
                </c:pt>
                <c:pt idx="1">
                  <c:v>1.9500260250381611</c:v>
                </c:pt>
                <c:pt idx="2">
                  <c:v>2</c:v>
                </c:pt>
              </c:numCache>
            </c:numRef>
          </c:yVal>
          <c:smooth val="0"/>
          <c:extLst>
            <c:ext xmlns:c16="http://schemas.microsoft.com/office/drawing/2014/chart" uri="{C3380CC4-5D6E-409C-BE32-E72D297353CC}">
              <c16:uniqueId val="{00000000-E3B8-4F46-9C2F-018A034B52EF}"/>
            </c:ext>
          </c:extLst>
        </c:ser>
        <c:dLbls>
          <c:showLegendKey val="0"/>
          <c:showVal val="0"/>
          <c:showCatName val="0"/>
          <c:showSerName val="0"/>
          <c:showPercent val="0"/>
          <c:showBubbleSize val="0"/>
        </c:dLbls>
        <c:axId val="651733680"/>
        <c:axId val="651734072"/>
      </c:scatterChart>
      <c:valAx>
        <c:axId val="6517336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734072"/>
        <c:crosses val="autoZero"/>
        <c:crossBetween val="midCat"/>
      </c:valAx>
      <c:valAx>
        <c:axId val="65173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7336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00"/>
                </a:solidFill>
                <a:effectLst/>
              </a:rPr>
              <a:t>9a Stormwater from T&amp;E parking lot, pH =10.02</a:t>
            </a:r>
            <a:endParaRPr lang="en-US" sz="1100">
              <a:effectLst/>
            </a:endParaRPr>
          </a:p>
        </c:rich>
      </c:tx>
      <c:layout>
        <c:manualLayout>
          <c:xMode val="edge"/>
          <c:yMode val="edge"/>
          <c:x val="0.25766674871743739"/>
          <c:y val="0.0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512604789999361"/>
                  <c:y val="0.148527244094488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'9a'!$P$19:$P$25</c:f>
              <c:numCache>
                <c:formatCode>#,##0</c:formatCode>
                <c:ptCount val="7"/>
                <c:pt idx="0">
                  <c:v>0</c:v>
                </c:pt>
                <c:pt idx="1">
                  <c:v>8571.4285714285725</c:v>
                </c:pt>
                <c:pt idx="2">
                  <c:v>14285.714285714286</c:v>
                </c:pt>
                <c:pt idx="3">
                  <c:v>28571.428571428572</c:v>
                </c:pt>
                <c:pt idx="4">
                  <c:v>42857.142857142862</c:v>
                </c:pt>
                <c:pt idx="5">
                  <c:v>85714.285714285725</c:v>
                </c:pt>
                <c:pt idx="6">
                  <c:v>171428.57142857145</c:v>
                </c:pt>
              </c:numCache>
            </c:numRef>
          </c:xVal>
          <c:yVal>
            <c:numRef>
              <c:f>'9a'!$J$19:$J$25</c:f>
              <c:numCache>
                <c:formatCode>0.0</c:formatCode>
                <c:ptCount val="7"/>
                <c:pt idx="0">
                  <c:v>0</c:v>
                </c:pt>
                <c:pt idx="1">
                  <c:v>0.2988639339074739</c:v>
                </c:pt>
                <c:pt idx="2">
                  <c:v>1.356547323513813</c:v>
                </c:pt>
                <c:pt idx="3">
                  <c:v>1.2903061302722083</c:v>
                </c:pt>
                <c:pt idx="4">
                  <c:v>4.1502735558036719</c:v>
                </c:pt>
                <c:pt idx="5">
                  <c:v>4.0579919469776868</c:v>
                </c:pt>
                <c:pt idx="6">
                  <c:v>5</c:v>
                </c:pt>
              </c:numCache>
            </c:numRef>
          </c:yVal>
          <c:smooth val="0"/>
          <c:extLst>
            <c:ext xmlns:c16="http://schemas.microsoft.com/office/drawing/2014/chart" uri="{C3380CC4-5D6E-409C-BE32-E72D297353CC}">
              <c16:uniqueId val="{00000000-58FA-46F5-85B1-FA8B282F7E90}"/>
            </c:ext>
          </c:extLst>
        </c:ser>
        <c:dLbls>
          <c:showLegendKey val="0"/>
          <c:showVal val="0"/>
          <c:showCatName val="0"/>
          <c:showSerName val="0"/>
          <c:showPercent val="0"/>
          <c:showBubbleSize val="0"/>
        </c:dLbls>
        <c:axId val="651277992"/>
        <c:axId val="651278384"/>
      </c:scatterChart>
      <c:valAx>
        <c:axId val="6512779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278384"/>
        <c:crosses val="autoZero"/>
        <c:crossBetween val="midCat"/>
      </c:valAx>
      <c:valAx>
        <c:axId val="651278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2779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00"/>
                </a:solidFill>
                <a:effectLst/>
              </a:rPr>
              <a:t>9aR Stormwater from T&amp;E parking lot, pH =10.02</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'9aR'!$P$19:$P$25</c:f>
              <c:numCache>
                <c:formatCode>#,##0</c:formatCode>
                <c:ptCount val="7"/>
                <c:pt idx="0">
                  <c:v>0</c:v>
                </c:pt>
                <c:pt idx="1">
                  <c:v>8571.4285714285725</c:v>
                </c:pt>
                <c:pt idx="2">
                  <c:v>14285.714285714286</c:v>
                </c:pt>
                <c:pt idx="3">
                  <c:v>28571.428571428572</c:v>
                </c:pt>
                <c:pt idx="4">
                  <c:v>42857.142857142862</c:v>
                </c:pt>
                <c:pt idx="5">
                  <c:v>85714.285714285725</c:v>
                </c:pt>
                <c:pt idx="6">
                  <c:v>171428.57142857145</c:v>
                </c:pt>
              </c:numCache>
            </c:numRef>
          </c:xVal>
          <c:yVal>
            <c:numRef>
              <c:f>'9aR'!$J$19:$J$25</c:f>
              <c:numCache>
                <c:formatCode>0.0</c:formatCode>
                <c:ptCount val="7"/>
                <c:pt idx="0">
                  <c:v>0</c:v>
                </c:pt>
                <c:pt idx="1">
                  <c:v>0.28172484046859481</c:v>
                </c:pt>
                <c:pt idx="2">
                  <c:v>0.34898645032459452</c:v>
                </c:pt>
                <c:pt idx="3">
                  <c:v>2.2632414347745815</c:v>
                </c:pt>
                <c:pt idx="4">
                  <c:v>3.3010299956639813</c:v>
                </c:pt>
                <c:pt idx="5">
                  <c:v>4.4393326938302629</c:v>
                </c:pt>
                <c:pt idx="6" formatCode="0.00">
                  <c:v>5.7403626894942441</c:v>
                </c:pt>
              </c:numCache>
            </c:numRef>
          </c:yVal>
          <c:smooth val="0"/>
          <c:extLst>
            <c:ext xmlns:c16="http://schemas.microsoft.com/office/drawing/2014/chart" uri="{C3380CC4-5D6E-409C-BE32-E72D297353CC}">
              <c16:uniqueId val="{00000000-C3D4-466D-912C-B6B3CD9E19D9}"/>
            </c:ext>
          </c:extLst>
        </c:ser>
        <c:dLbls>
          <c:showLegendKey val="0"/>
          <c:showVal val="0"/>
          <c:showCatName val="0"/>
          <c:showSerName val="0"/>
          <c:showPercent val="0"/>
          <c:showBubbleSize val="0"/>
        </c:dLbls>
        <c:axId val="651279168"/>
        <c:axId val="651279560"/>
      </c:scatterChart>
      <c:valAx>
        <c:axId val="6512791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279560"/>
        <c:crosses val="autoZero"/>
        <c:crossBetween val="midCat"/>
      </c:valAx>
      <c:valAx>
        <c:axId val="651279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2791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00"/>
                </a:solidFill>
                <a:effectLst/>
              </a:rPr>
              <a:t>9b Stormwater from T&amp;E parking lot,21 °C, pH =10.24</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002946317682877E-2"/>
          <c:y val="9.5147238545821508E-2"/>
          <c:w val="0.83029536510373159"/>
          <c:h val="0.70829104545858601"/>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090221296257884"/>
                  <c:y val="1.8558381568689896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'9b'!$P$19:$P$24</c:f>
              <c:numCache>
                <c:formatCode>#,##0</c:formatCode>
                <c:ptCount val="6"/>
                <c:pt idx="0">
                  <c:v>0</c:v>
                </c:pt>
                <c:pt idx="1">
                  <c:v>8571.4285714285725</c:v>
                </c:pt>
                <c:pt idx="2">
                  <c:v>14285.714285714286</c:v>
                </c:pt>
                <c:pt idx="3">
                  <c:v>28571.428571428572</c:v>
                </c:pt>
                <c:pt idx="4">
                  <c:v>42857.142857142862</c:v>
                </c:pt>
                <c:pt idx="5">
                  <c:v>85714.285714285725</c:v>
                </c:pt>
              </c:numCache>
            </c:numRef>
          </c:xVal>
          <c:yVal>
            <c:numRef>
              <c:f>'9b'!$J$19:$J$24</c:f>
              <c:numCache>
                <c:formatCode>0.0</c:formatCode>
                <c:ptCount val="6"/>
                <c:pt idx="0">
                  <c:v>0</c:v>
                </c:pt>
                <c:pt idx="1">
                  <c:v>1.1962946451439675</c:v>
                </c:pt>
                <c:pt idx="2">
                  <c:v>1.3260322646340361</c:v>
                </c:pt>
                <c:pt idx="3">
                  <c:v>1.4651399574365476</c:v>
                </c:pt>
                <c:pt idx="4">
                  <c:v>5.7280122511078142</c:v>
                </c:pt>
                <c:pt idx="5">
                  <c:v>6.2802747740733613</c:v>
                </c:pt>
              </c:numCache>
            </c:numRef>
          </c:yVal>
          <c:smooth val="0"/>
          <c:extLst>
            <c:ext xmlns:c16="http://schemas.microsoft.com/office/drawing/2014/chart" uri="{C3380CC4-5D6E-409C-BE32-E72D297353CC}">
              <c16:uniqueId val="{00000000-80BA-4127-B415-C18D6C87BD9C}"/>
            </c:ext>
          </c:extLst>
        </c:ser>
        <c:dLbls>
          <c:showLegendKey val="0"/>
          <c:showVal val="0"/>
          <c:showCatName val="0"/>
          <c:showSerName val="0"/>
          <c:showPercent val="0"/>
          <c:showBubbleSize val="0"/>
        </c:dLbls>
        <c:axId val="651281520"/>
        <c:axId val="651281912"/>
      </c:scatterChart>
      <c:valAx>
        <c:axId val="651281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281912"/>
        <c:crosses val="autoZero"/>
        <c:crossBetween val="midCat"/>
      </c:valAx>
      <c:valAx>
        <c:axId val="651281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2815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00"/>
                </a:solidFill>
                <a:effectLst/>
              </a:rPr>
              <a:t>9c Stormwater from T&amp;E parking lot, 21 °C, pH =10.08</a:t>
            </a:r>
            <a:endParaRPr lang="en-US" sz="11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1471445065979726"/>
                  <c:y val="1.0936170212765958E-2"/>
                </c:manualLayout>
              </c:layout>
              <c:numFmt formatCode="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('9c'!$P$18,'9c'!$P$19,'9c'!$P$20,'9c'!$P$21,'9c'!$P$22,'9c'!$P$23)</c:f>
              <c:numCache>
                <c:formatCode>#,##0</c:formatCode>
                <c:ptCount val="6"/>
                <c:pt idx="0">
                  <c:v>0</c:v>
                </c:pt>
                <c:pt idx="1">
                  <c:v>14285.714285714286</c:v>
                </c:pt>
                <c:pt idx="2">
                  <c:v>28571.428571428572</c:v>
                </c:pt>
                <c:pt idx="3">
                  <c:v>42857.142857142862</c:v>
                </c:pt>
                <c:pt idx="4">
                  <c:v>85714.285714285725</c:v>
                </c:pt>
                <c:pt idx="5">
                  <c:v>171428.57142857145</c:v>
                </c:pt>
              </c:numCache>
            </c:numRef>
          </c:xVal>
          <c:yVal>
            <c:numRef>
              <c:f>('9c'!$J$18,'9c'!$J$19,'9c'!$J$20,'9c'!$J$21,'9c'!$J$22,'9c'!$J$23)</c:f>
              <c:numCache>
                <c:formatCode>0.0</c:formatCode>
                <c:ptCount val="6"/>
                <c:pt idx="0">
                  <c:v>0</c:v>
                </c:pt>
                <c:pt idx="1">
                  <c:v>1.6031336494320261</c:v>
                </c:pt>
                <c:pt idx="2">
                  <c:v>1.6140187927170562</c:v>
                </c:pt>
                <c:pt idx="3">
                  <c:v>5.5904216839158885</c:v>
                </c:pt>
                <c:pt idx="4">
                  <c:v>6.4313637641589869</c:v>
                </c:pt>
                <c:pt idx="5">
                  <c:v>6.306425027550687</c:v>
                </c:pt>
              </c:numCache>
            </c:numRef>
          </c:yVal>
          <c:smooth val="0"/>
          <c:extLst>
            <c:ext xmlns:c16="http://schemas.microsoft.com/office/drawing/2014/chart" uri="{C3380CC4-5D6E-409C-BE32-E72D297353CC}">
              <c16:uniqueId val="{00000000-5023-4134-ACBD-1D4531F3FA7D}"/>
            </c:ext>
          </c:extLst>
        </c:ser>
        <c:dLbls>
          <c:showLegendKey val="0"/>
          <c:showVal val="0"/>
          <c:showCatName val="0"/>
          <c:showSerName val="0"/>
          <c:showPercent val="0"/>
          <c:showBubbleSize val="0"/>
        </c:dLbls>
        <c:axId val="651282696"/>
        <c:axId val="651283088"/>
      </c:scatterChart>
      <c:valAx>
        <c:axId val="6512826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283088"/>
        <c:crosses val="autoZero"/>
        <c:crossBetween val="midCat"/>
      </c:valAx>
      <c:valAx>
        <c:axId val="651283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2826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baseline="0">
                <a:effectLst/>
              </a:rPr>
              <a:t>7c PPE washwater w/MHRW, 1% Alconox Log Inactivation vs. CT, 22°C, pH =9.0</a:t>
            </a:r>
            <a:endParaRPr lang="en-US" sz="1100">
              <a:effectLst/>
            </a:endParaRPr>
          </a:p>
        </c:rich>
      </c:tx>
      <c:layout>
        <c:manualLayout>
          <c:xMode val="edge"/>
          <c:yMode val="edge"/>
          <c:x val="0.1356370777597920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539370078740152E-2"/>
          <c:y val="0.12891629380554728"/>
          <c:w val="0.84778696412948384"/>
          <c:h val="0.7939178981016552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numFmt formatCode="0.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'7c'!$P$19:$P$21</c:f>
              <c:numCache>
                <c:formatCode>#,##0</c:formatCode>
                <c:ptCount val="3"/>
                <c:pt idx="0">
                  <c:v>0</c:v>
                </c:pt>
                <c:pt idx="1">
                  <c:v>8571.4285714285725</c:v>
                </c:pt>
                <c:pt idx="2">
                  <c:v>14285.714285714286</c:v>
                </c:pt>
              </c:numCache>
            </c:numRef>
          </c:xVal>
          <c:yVal>
            <c:numRef>
              <c:f>'7c'!$J$19:$J$21</c:f>
              <c:numCache>
                <c:formatCode>General</c:formatCode>
                <c:ptCount val="3"/>
                <c:pt idx="0">
                  <c:v>0</c:v>
                </c:pt>
                <c:pt idx="1">
                  <c:v>3.18</c:v>
                </c:pt>
                <c:pt idx="2">
                  <c:v>4.57</c:v>
                </c:pt>
              </c:numCache>
            </c:numRef>
          </c:yVal>
          <c:smooth val="0"/>
          <c:extLst>
            <c:ext xmlns:c16="http://schemas.microsoft.com/office/drawing/2014/chart" uri="{C3380CC4-5D6E-409C-BE32-E72D297353CC}">
              <c16:uniqueId val="{00000000-6A7A-4FA6-9EF9-23EDF2BB327A}"/>
            </c:ext>
          </c:extLst>
        </c:ser>
        <c:dLbls>
          <c:showLegendKey val="0"/>
          <c:showVal val="0"/>
          <c:showCatName val="0"/>
          <c:showSerName val="0"/>
          <c:showPercent val="0"/>
          <c:showBubbleSize val="0"/>
        </c:dLbls>
        <c:axId val="593668600"/>
        <c:axId val="593668992"/>
      </c:scatterChart>
      <c:valAx>
        <c:axId val="5936686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668992"/>
        <c:crosses val="autoZero"/>
        <c:crossBetween val="midCat"/>
      </c:valAx>
      <c:valAx>
        <c:axId val="593668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6686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20a Stormwater from T&amp;E parking lot, 5°C, pH =10.36</a:t>
            </a:r>
            <a:endParaRPr lang="en-US" sz="1100">
              <a:solidFill>
                <a:srgbClr val="0000CC"/>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4284261658018351"/>
                  <c:y val="-6.1055009620065818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'20a'!$P$19:$P$24</c:f>
              <c:numCache>
                <c:formatCode>#,##0</c:formatCode>
                <c:ptCount val="6"/>
                <c:pt idx="0">
                  <c:v>0</c:v>
                </c:pt>
                <c:pt idx="1">
                  <c:v>14084.009883515708</c:v>
                </c:pt>
                <c:pt idx="2">
                  <c:v>28168.019767031416</c:v>
                </c:pt>
                <c:pt idx="3">
                  <c:v>42252.02965054712</c:v>
                </c:pt>
                <c:pt idx="4">
                  <c:v>84504.059301094239</c:v>
                </c:pt>
                <c:pt idx="5">
                  <c:v>169008.11860218848</c:v>
                </c:pt>
              </c:numCache>
            </c:numRef>
          </c:xVal>
          <c:yVal>
            <c:numRef>
              <c:f>'20a'!$J$19:$J$24</c:f>
              <c:numCache>
                <c:formatCode>0.0</c:formatCode>
                <c:ptCount val="6"/>
                <c:pt idx="0">
                  <c:v>0</c:v>
                </c:pt>
                <c:pt idx="1">
                  <c:v>0.22184874961635614</c:v>
                </c:pt>
                <c:pt idx="2">
                  <c:v>0.25963731050575589</c:v>
                </c:pt>
                <c:pt idx="3">
                  <c:v>0.70996538863748171</c:v>
                </c:pt>
                <c:pt idx="4">
                  <c:v>1.7695510786217259</c:v>
                </c:pt>
                <c:pt idx="5">
                  <c:v>5.8750612633917001</c:v>
                </c:pt>
              </c:numCache>
            </c:numRef>
          </c:yVal>
          <c:smooth val="0"/>
          <c:extLst>
            <c:ext xmlns:c16="http://schemas.microsoft.com/office/drawing/2014/chart" uri="{C3380CC4-5D6E-409C-BE32-E72D297353CC}">
              <c16:uniqueId val="{00000000-FEDF-453A-8FAC-B4E977B5716D}"/>
            </c:ext>
          </c:extLst>
        </c:ser>
        <c:dLbls>
          <c:showLegendKey val="0"/>
          <c:showVal val="0"/>
          <c:showCatName val="0"/>
          <c:showSerName val="0"/>
          <c:showPercent val="0"/>
          <c:showBubbleSize val="0"/>
        </c:dLbls>
        <c:axId val="651283872"/>
        <c:axId val="651284264"/>
      </c:scatterChart>
      <c:valAx>
        <c:axId val="6512838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284264"/>
        <c:crosses val="autoZero"/>
        <c:crossBetween val="midCat"/>
      </c:valAx>
      <c:valAx>
        <c:axId val="651284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2838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20b Stormwater from T&amp;E parking lot, 5°C, pH =10.36</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'20b'!$P$19:$P$25</c:f>
              <c:numCache>
                <c:formatCode>#,##0</c:formatCode>
                <c:ptCount val="7"/>
                <c:pt idx="0">
                  <c:v>0</c:v>
                </c:pt>
                <c:pt idx="1">
                  <c:v>15188.042430086787</c:v>
                </c:pt>
                <c:pt idx="2">
                  <c:v>30376.084860173574</c:v>
                </c:pt>
                <c:pt idx="3">
                  <c:v>45564.12729026036</c:v>
                </c:pt>
                <c:pt idx="4">
                  <c:v>91128.254580520719</c:v>
                </c:pt>
                <c:pt idx="5">
                  <c:v>182256.50916104144</c:v>
                </c:pt>
                <c:pt idx="6">
                  <c:v>364513.01832208288</c:v>
                </c:pt>
              </c:numCache>
            </c:numRef>
          </c:xVal>
          <c:yVal>
            <c:numRef>
              <c:f>'20b'!$J$19:$J$25</c:f>
              <c:numCache>
                <c:formatCode>0.0</c:formatCode>
                <c:ptCount val="7"/>
                <c:pt idx="0">
                  <c:v>0</c:v>
                </c:pt>
                <c:pt idx="1">
                  <c:v>-8.432088570003593E-2</c:v>
                </c:pt>
                <c:pt idx="2">
                  <c:v>0.15935630141199297</c:v>
                </c:pt>
                <c:pt idx="3">
                  <c:v>1.4018350525555618</c:v>
                </c:pt>
                <c:pt idx="4">
                  <c:v>2.2349704269382613</c:v>
                </c:pt>
                <c:pt idx="5">
                  <c:v>5.9700367766225568</c:v>
                </c:pt>
                <c:pt idx="6">
                  <c:v>6.2710667722865381</c:v>
                </c:pt>
              </c:numCache>
            </c:numRef>
          </c:yVal>
          <c:smooth val="0"/>
          <c:extLst>
            <c:ext xmlns:c16="http://schemas.microsoft.com/office/drawing/2014/chart" uri="{C3380CC4-5D6E-409C-BE32-E72D297353CC}">
              <c16:uniqueId val="{00000000-0499-4730-849E-F137E94B0808}"/>
            </c:ext>
          </c:extLst>
        </c:ser>
        <c:dLbls>
          <c:showLegendKey val="0"/>
          <c:showVal val="0"/>
          <c:showCatName val="0"/>
          <c:showSerName val="0"/>
          <c:showPercent val="0"/>
          <c:showBubbleSize val="0"/>
        </c:dLbls>
        <c:axId val="651285048"/>
        <c:axId val="651285440"/>
      </c:scatterChart>
      <c:valAx>
        <c:axId val="6512850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285440"/>
        <c:crosses val="autoZero"/>
        <c:crossBetween val="midCat"/>
      </c:valAx>
      <c:valAx>
        <c:axId val="651285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2850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20c Stormwater from T&amp;E parking lot, 5°C, pH =10.09</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076461354604085"/>
          <c:y val="0.12051485148514851"/>
          <c:w val="0.82899603719452419"/>
          <c:h val="0.75907601153816173"/>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'20c'!$P$19:$P$24</c:f>
              <c:numCache>
                <c:formatCode>#,##0</c:formatCode>
                <c:ptCount val="6"/>
                <c:pt idx="0">
                  <c:v>0</c:v>
                </c:pt>
                <c:pt idx="1">
                  <c:v>15188.042430086787</c:v>
                </c:pt>
                <c:pt idx="2">
                  <c:v>30376.084860173574</c:v>
                </c:pt>
                <c:pt idx="3">
                  <c:v>45564.12729026036</c:v>
                </c:pt>
                <c:pt idx="4">
                  <c:v>91128.254580520719</c:v>
                </c:pt>
                <c:pt idx="5">
                  <c:v>182256.50916104144</c:v>
                </c:pt>
              </c:numCache>
            </c:numRef>
          </c:xVal>
          <c:yVal>
            <c:numRef>
              <c:f>'20c'!$J$19:$J$24</c:f>
              <c:numCache>
                <c:formatCode>0.0</c:formatCode>
                <c:ptCount val="6"/>
                <c:pt idx="0">
                  <c:v>0</c:v>
                </c:pt>
                <c:pt idx="1">
                  <c:v>0.97564065414055534</c:v>
                </c:pt>
                <c:pt idx="2">
                  <c:v>1.1794449010632695</c:v>
                </c:pt>
                <c:pt idx="3">
                  <c:v>1.5606673061697371</c:v>
                </c:pt>
                <c:pt idx="4">
                  <c:v>3.26884531229258</c:v>
                </c:pt>
                <c:pt idx="5">
                  <c:v>7.0205216671446022</c:v>
                </c:pt>
              </c:numCache>
            </c:numRef>
          </c:yVal>
          <c:smooth val="0"/>
          <c:extLst>
            <c:ext xmlns:c16="http://schemas.microsoft.com/office/drawing/2014/chart" uri="{C3380CC4-5D6E-409C-BE32-E72D297353CC}">
              <c16:uniqueId val="{00000000-9F27-4462-B41B-40CBFEFAD9A0}"/>
            </c:ext>
          </c:extLst>
        </c:ser>
        <c:dLbls>
          <c:showLegendKey val="0"/>
          <c:showVal val="0"/>
          <c:showCatName val="0"/>
          <c:showSerName val="0"/>
          <c:showPercent val="0"/>
          <c:showBubbleSize val="0"/>
        </c:dLbls>
        <c:axId val="653279280"/>
        <c:axId val="653279672"/>
      </c:scatterChart>
      <c:valAx>
        <c:axId val="6532792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279672"/>
        <c:crosses val="autoZero"/>
        <c:crossBetween val="midCat"/>
      </c:valAx>
      <c:valAx>
        <c:axId val="653279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2792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ysClr val="windowText" lastClr="000000"/>
                </a:solidFill>
                <a:effectLst/>
              </a:rPr>
              <a:t>27aR </a:t>
            </a:r>
            <a:r>
              <a:rPr lang="en-US" sz="1100" b="0" i="0" u="none" strike="noStrike" baseline="0">
                <a:solidFill>
                  <a:sysClr val="windowText" lastClr="000000"/>
                </a:solidFill>
                <a:effectLst/>
              </a:rPr>
              <a:t>Floor wash with 1% Alconox + 19 mg/L motor oil</a:t>
            </a:r>
            <a:r>
              <a:rPr lang="en-US" sz="1100" b="0" i="0" u="none" strike="noStrike" baseline="0">
                <a:solidFill>
                  <a:sysClr val="windowText" lastClr="000000"/>
                </a:solidFill>
              </a:rPr>
              <a:t> </a:t>
            </a:r>
            <a:r>
              <a:rPr lang="en-US" sz="1100" b="0" i="0" kern="1200" spc="0" baseline="0">
                <a:solidFill>
                  <a:sysClr val="windowText" lastClr="000000"/>
                </a:solidFill>
                <a:effectLst/>
              </a:rPr>
              <a:t>, 22°C, pH = 9.07</a:t>
            </a:r>
            <a:endParaRPr lang="en-US" sz="1100">
              <a:solidFill>
                <a:sysClr val="windowText" lastClr="000000"/>
              </a:solidFill>
              <a:effectLst/>
            </a:endParaRPr>
          </a:p>
        </c:rich>
      </c:tx>
      <c:layout>
        <c:manualLayout>
          <c:xMode val="edge"/>
          <c:yMode val="edge"/>
          <c:x val="0.1591715976331361"/>
          <c:y val="3.65606035986125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'27aR'!$P$19:$P$20</c:f>
              <c:numCache>
                <c:formatCode>#,##0</c:formatCode>
                <c:ptCount val="2"/>
                <c:pt idx="0">
                  <c:v>0</c:v>
                </c:pt>
                <c:pt idx="1">
                  <c:v>14857.428714357178</c:v>
                </c:pt>
              </c:numCache>
            </c:numRef>
          </c:xVal>
          <c:yVal>
            <c:numRef>
              <c:f>'27aR'!$J$19:$J$20</c:f>
              <c:numCache>
                <c:formatCode>0.0</c:formatCode>
                <c:ptCount val="2"/>
                <c:pt idx="0">
                  <c:v>0</c:v>
                </c:pt>
                <c:pt idx="1">
                  <c:v>1.3121189678295941</c:v>
                </c:pt>
              </c:numCache>
            </c:numRef>
          </c:yVal>
          <c:smooth val="0"/>
          <c:extLst>
            <c:ext xmlns:c16="http://schemas.microsoft.com/office/drawing/2014/chart" uri="{C3380CC4-5D6E-409C-BE32-E72D297353CC}">
              <c16:uniqueId val="{00000000-C47D-47BA-9880-C93C434B6D47}"/>
            </c:ext>
          </c:extLst>
        </c:ser>
        <c:dLbls>
          <c:showLegendKey val="0"/>
          <c:showVal val="0"/>
          <c:showCatName val="0"/>
          <c:showSerName val="0"/>
          <c:showPercent val="0"/>
          <c:showBubbleSize val="0"/>
        </c:dLbls>
        <c:axId val="653281632"/>
        <c:axId val="653282024"/>
      </c:scatterChart>
      <c:valAx>
        <c:axId val="6532816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282024"/>
        <c:crosses val="autoZero"/>
        <c:crossBetween val="midCat"/>
      </c:valAx>
      <c:valAx>
        <c:axId val="653282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2816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00"/>
                </a:solidFill>
                <a:effectLst/>
              </a:rPr>
              <a:t>27bR Floor wash with 1% Alconox + 19 mg/L motor oil , 22°C, pH = 9.10</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'27aR'!$P$19:$P$20</c:f>
              <c:numCache>
                <c:formatCode>#,##0</c:formatCode>
                <c:ptCount val="2"/>
                <c:pt idx="0">
                  <c:v>0</c:v>
                </c:pt>
                <c:pt idx="1">
                  <c:v>14857.428714357178</c:v>
                </c:pt>
              </c:numCache>
            </c:numRef>
          </c:xVal>
          <c:yVal>
            <c:numRef>
              <c:f>'27aR'!$J$19:$J$20</c:f>
              <c:numCache>
                <c:formatCode>0.0</c:formatCode>
                <c:ptCount val="2"/>
                <c:pt idx="0">
                  <c:v>0</c:v>
                </c:pt>
                <c:pt idx="1">
                  <c:v>1.3121189678295941</c:v>
                </c:pt>
              </c:numCache>
            </c:numRef>
          </c:yVal>
          <c:smooth val="0"/>
          <c:extLst>
            <c:ext xmlns:c16="http://schemas.microsoft.com/office/drawing/2014/chart" uri="{C3380CC4-5D6E-409C-BE32-E72D297353CC}">
              <c16:uniqueId val="{00000000-0E01-41EB-B8D9-7500531C3F98}"/>
            </c:ext>
          </c:extLst>
        </c:ser>
        <c:dLbls>
          <c:showLegendKey val="0"/>
          <c:showVal val="0"/>
          <c:showCatName val="0"/>
          <c:showSerName val="0"/>
          <c:showPercent val="0"/>
          <c:showBubbleSize val="0"/>
        </c:dLbls>
        <c:axId val="653282808"/>
        <c:axId val="653283200"/>
      </c:scatterChart>
      <c:valAx>
        <c:axId val="6532828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283200"/>
        <c:crosses val="autoZero"/>
        <c:crossBetween val="midCat"/>
      </c:valAx>
      <c:valAx>
        <c:axId val="653283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2828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00"/>
                </a:solidFill>
                <a:effectLst/>
              </a:rPr>
              <a:t>27c Floor wash with 1% Alconox + 19 mg/L motor oil , 20°C, pH = 9.14</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0122316150879709"/>
                  <c:y val="-3.0345620852146742E-2"/>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'27c'!$P$19:$P$20</c:f>
              <c:numCache>
                <c:formatCode>#,##0</c:formatCode>
                <c:ptCount val="2"/>
                <c:pt idx="0">
                  <c:v>0</c:v>
                </c:pt>
                <c:pt idx="1">
                  <c:v>14857.428714357178</c:v>
                </c:pt>
              </c:numCache>
            </c:numRef>
          </c:xVal>
          <c:yVal>
            <c:numRef>
              <c:f>'27c'!$J$19:$J$20</c:f>
              <c:numCache>
                <c:formatCode>0.0</c:formatCode>
                <c:ptCount val="2"/>
                <c:pt idx="0">
                  <c:v>0</c:v>
                </c:pt>
                <c:pt idx="1">
                  <c:v>1.1461280356782382</c:v>
                </c:pt>
              </c:numCache>
            </c:numRef>
          </c:yVal>
          <c:smooth val="0"/>
          <c:extLst>
            <c:ext xmlns:c16="http://schemas.microsoft.com/office/drawing/2014/chart" uri="{C3380CC4-5D6E-409C-BE32-E72D297353CC}">
              <c16:uniqueId val="{00000000-BF07-4024-A6CC-5AB3A8010067}"/>
            </c:ext>
          </c:extLst>
        </c:ser>
        <c:dLbls>
          <c:showLegendKey val="0"/>
          <c:showVal val="0"/>
          <c:showCatName val="0"/>
          <c:showSerName val="0"/>
          <c:showPercent val="0"/>
          <c:showBubbleSize val="0"/>
        </c:dLbls>
        <c:axId val="653283984"/>
        <c:axId val="653284376"/>
      </c:scatterChart>
      <c:valAx>
        <c:axId val="6532839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284376"/>
        <c:crosses val="autoZero"/>
        <c:crossBetween val="midCat"/>
      </c:valAx>
      <c:valAx>
        <c:axId val="653284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2839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28a Floor wash with 1% Alconox + 19 mg/L motor oil, 4°C, pH = 9.16</a:t>
            </a:r>
            <a:endParaRPr lang="en-US" sz="1100">
              <a:solidFill>
                <a:srgbClr val="0000CC"/>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527638078483773"/>
          <c:y val="9.92417273237894E-2"/>
          <c:w val="0.83900505006419823"/>
          <c:h val="0.72037919391385896"/>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'28a'!$P$19:$P$22</c:f>
              <c:numCache>
                <c:formatCode>#,##0</c:formatCode>
                <c:ptCount val="4"/>
                <c:pt idx="0">
                  <c:v>0</c:v>
                </c:pt>
                <c:pt idx="1">
                  <c:v>14857.428714357178</c:v>
                </c:pt>
                <c:pt idx="2">
                  <c:v>29714.857428714357</c:v>
                </c:pt>
                <c:pt idx="3">
                  <c:v>44572.286143071535</c:v>
                </c:pt>
              </c:numCache>
            </c:numRef>
          </c:xVal>
          <c:yVal>
            <c:numRef>
              <c:f>'28a'!$J$19:$J$22</c:f>
              <c:numCache>
                <c:formatCode>0.0</c:formatCode>
                <c:ptCount val="4"/>
                <c:pt idx="0">
                  <c:v>0</c:v>
                </c:pt>
                <c:pt idx="1">
                  <c:v>0.2801190013019994</c:v>
                </c:pt>
                <c:pt idx="2">
                  <c:v>2.9538531822219447</c:v>
                </c:pt>
                <c:pt idx="3">
                  <c:v>5.1722136039924793</c:v>
                </c:pt>
              </c:numCache>
            </c:numRef>
          </c:yVal>
          <c:smooth val="0"/>
          <c:extLst>
            <c:ext xmlns:c16="http://schemas.microsoft.com/office/drawing/2014/chart" uri="{C3380CC4-5D6E-409C-BE32-E72D297353CC}">
              <c16:uniqueId val="{00000000-BD85-4BFA-8D65-559989D29542}"/>
            </c:ext>
          </c:extLst>
        </c:ser>
        <c:dLbls>
          <c:showLegendKey val="0"/>
          <c:showVal val="0"/>
          <c:showCatName val="0"/>
          <c:showSerName val="0"/>
          <c:showPercent val="0"/>
          <c:showBubbleSize val="0"/>
        </c:dLbls>
        <c:axId val="653285160"/>
        <c:axId val="653285552"/>
      </c:scatterChart>
      <c:valAx>
        <c:axId val="653285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285552"/>
        <c:crosses val="autoZero"/>
        <c:crossBetween val="midCat"/>
      </c:valAx>
      <c:valAx>
        <c:axId val="653285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2851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28b Floor wash with 1% Alconox + 19 mg/L motor oil, 5°C, pH = 9.13</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'28b'!$P$19:$P$22</c:f>
              <c:numCache>
                <c:formatCode>#,##0</c:formatCode>
                <c:ptCount val="4"/>
                <c:pt idx="0">
                  <c:v>0</c:v>
                </c:pt>
                <c:pt idx="1">
                  <c:v>14857.428714357178</c:v>
                </c:pt>
                <c:pt idx="2">
                  <c:v>29714.857428714357</c:v>
                </c:pt>
                <c:pt idx="3">
                  <c:v>44572.286143071535</c:v>
                </c:pt>
              </c:numCache>
            </c:numRef>
          </c:xVal>
          <c:yVal>
            <c:numRef>
              <c:f>'28b'!$J$19:$J$22</c:f>
              <c:numCache>
                <c:formatCode>0.0</c:formatCode>
                <c:ptCount val="4"/>
                <c:pt idx="0">
                  <c:v>0</c:v>
                </c:pt>
                <c:pt idx="1">
                  <c:v>0.60357585493291133</c:v>
                </c:pt>
                <c:pt idx="2">
                  <c:v>3.5868930829734169</c:v>
                </c:pt>
                <c:pt idx="3">
                  <c:v>5.7589118923979736</c:v>
                </c:pt>
              </c:numCache>
            </c:numRef>
          </c:yVal>
          <c:smooth val="0"/>
          <c:extLst>
            <c:ext xmlns:c16="http://schemas.microsoft.com/office/drawing/2014/chart" uri="{C3380CC4-5D6E-409C-BE32-E72D297353CC}">
              <c16:uniqueId val="{00000000-C696-402A-9078-9DAC42FE1EFA}"/>
            </c:ext>
          </c:extLst>
        </c:ser>
        <c:dLbls>
          <c:showLegendKey val="0"/>
          <c:showVal val="0"/>
          <c:showCatName val="0"/>
          <c:showSerName val="0"/>
          <c:showPercent val="0"/>
          <c:showBubbleSize val="0"/>
        </c:dLbls>
        <c:axId val="653286336"/>
        <c:axId val="638783768"/>
      </c:scatterChart>
      <c:valAx>
        <c:axId val="6532863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783768"/>
        <c:crosses val="autoZero"/>
        <c:crossBetween val="midCat"/>
      </c:valAx>
      <c:valAx>
        <c:axId val="638783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2863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28c Floor wash with 1% Alconox + 19 mg/L motor oil, 5°C, pH = 9.07</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47798741863241878"/>
                  <c:y val="8.8425925925925929E-3"/>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'28c'!$P$19:$P$22</c:f>
              <c:numCache>
                <c:formatCode>#,##0</c:formatCode>
                <c:ptCount val="4"/>
                <c:pt idx="0">
                  <c:v>0</c:v>
                </c:pt>
                <c:pt idx="1">
                  <c:v>14857.428714357178</c:v>
                </c:pt>
                <c:pt idx="2">
                  <c:v>29714.857428714357</c:v>
                </c:pt>
                <c:pt idx="3">
                  <c:v>44572.286143071535</c:v>
                </c:pt>
              </c:numCache>
            </c:numRef>
          </c:xVal>
          <c:yVal>
            <c:numRef>
              <c:f>'28c'!$J$19:$J$22</c:f>
              <c:numCache>
                <c:formatCode>0.0</c:formatCode>
                <c:ptCount val="4"/>
                <c:pt idx="0">
                  <c:v>0</c:v>
                </c:pt>
                <c:pt idx="1">
                  <c:v>0.86646109162978213</c:v>
                </c:pt>
                <c:pt idx="2">
                  <c:v>3.6055483191737836</c:v>
                </c:pt>
                <c:pt idx="3">
                  <c:v>5.3979400086720375</c:v>
                </c:pt>
              </c:numCache>
            </c:numRef>
          </c:yVal>
          <c:smooth val="0"/>
          <c:extLst>
            <c:ext xmlns:c16="http://schemas.microsoft.com/office/drawing/2014/chart" uri="{C3380CC4-5D6E-409C-BE32-E72D297353CC}">
              <c16:uniqueId val="{00000000-01C0-4487-AD6D-E7E968160B7C}"/>
            </c:ext>
          </c:extLst>
        </c:ser>
        <c:dLbls>
          <c:showLegendKey val="0"/>
          <c:showVal val="0"/>
          <c:showCatName val="0"/>
          <c:showSerName val="0"/>
          <c:showPercent val="0"/>
          <c:showBubbleSize val="0"/>
        </c:dLbls>
        <c:axId val="638784552"/>
        <c:axId val="638784944"/>
      </c:scatterChart>
      <c:valAx>
        <c:axId val="6387845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layout>
            <c:manualLayout>
              <c:xMode val="edge"/>
              <c:yMode val="edge"/>
              <c:x val="0.35612353107799921"/>
              <c:y val="0.9138589956997309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784944"/>
        <c:crosses val="autoZero"/>
        <c:crossBetween val="midCat"/>
      </c:valAx>
      <c:valAx>
        <c:axId val="638784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7845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00"/>
                </a:solidFill>
                <a:effectLst/>
              </a:rPr>
              <a:t>PM 4C-0hr Floor wash water with 1% Alconox, 5°C, pH = 9.18</a:t>
            </a:r>
          </a:p>
          <a:p>
            <a:pPr>
              <a:defRPr/>
            </a:pPr>
            <a:r>
              <a:rPr lang="en-US" sz="1100" b="0" i="0" kern="1200" spc="0" baseline="0">
                <a:solidFill>
                  <a:srgbClr val="000000"/>
                </a:solidFill>
                <a:effectLst/>
              </a:rPr>
              <a:t>0 hours extended contact prior to bleach addition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0102191024108123"/>
                  <c:y val="0.12929691442886088"/>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'PM 4C 0hr'!$P$19:$P$22</c:f>
              <c:numCache>
                <c:formatCode>#,##0</c:formatCode>
                <c:ptCount val="4"/>
                <c:pt idx="0">
                  <c:v>0</c:v>
                </c:pt>
                <c:pt idx="1">
                  <c:v>8571.4285714285725</c:v>
                </c:pt>
                <c:pt idx="2">
                  <c:v>14285.714285714286</c:v>
                </c:pt>
                <c:pt idx="3">
                  <c:v>28571.428571428572</c:v>
                </c:pt>
              </c:numCache>
            </c:numRef>
          </c:xVal>
          <c:yVal>
            <c:numRef>
              <c:f>'PM 4C 0hr'!$J$19:$J$22</c:f>
              <c:numCache>
                <c:formatCode>0.0</c:formatCode>
                <c:ptCount val="4"/>
                <c:pt idx="0">
                  <c:v>0</c:v>
                </c:pt>
                <c:pt idx="1">
                  <c:v>0.70996538863748171</c:v>
                </c:pt>
                <c:pt idx="2">
                  <c:v>2.0222763947111524</c:v>
                </c:pt>
                <c:pt idx="3">
                  <c:v>4.6020599913279625</c:v>
                </c:pt>
              </c:numCache>
            </c:numRef>
          </c:yVal>
          <c:smooth val="0"/>
          <c:extLst>
            <c:ext xmlns:c16="http://schemas.microsoft.com/office/drawing/2014/chart" uri="{C3380CC4-5D6E-409C-BE32-E72D297353CC}">
              <c16:uniqueId val="{00000000-0944-45FB-BBD0-292AF27D0CE0}"/>
            </c:ext>
          </c:extLst>
        </c:ser>
        <c:dLbls>
          <c:showLegendKey val="0"/>
          <c:showVal val="0"/>
          <c:showCatName val="0"/>
          <c:showSerName val="0"/>
          <c:showPercent val="0"/>
          <c:showBubbleSize val="0"/>
        </c:dLbls>
        <c:axId val="655653000"/>
        <c:axId val="655653392"/>
      </c:scatterChart>
      <c:valAx>
        <c:axId val="6556530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653392"/>
        <c:crosses val="autoZero"/>
        <c:crossBetween val="midCat"/>
      </c:valAx>
      <c:valAx>
        <c:axId val="655653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6530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rgbClr val="0000CC"/>
                </a:solidFill>
              </a:rPr>
              <a:t>14a</a:t>
            </a:r>
            <a:r>
              <a:rPr lang="en-US" sz="1100" baseline="0">
                <a:solidFill>
                  <a:srgbClr val="0000CC"/>
                </a:solidFill>
              </a:rPr>
              <a:t> Floor washwater with MHRW and alconox</a:t>
            </a:r>
          </a:p>
          <a:p>
            <a:pPr>
              <a:defRPr/>
            </a:pPr>
            <a:r>
              <a:rPr lang="en-US" sz="1100">
                <a:solidFill>
                  <a:srgbClr val="0000CC"/>
                </a:solidFill>
              </a:rPr>
              <a:t>Log</a:t>
            </a:r>
            <a:r>
              <a:rPr lang="en-US" sz="1100" baseline="0">
                <a:solidFill>
                  <a:srgbClr val="0000CC"/>
                </a:solidFill>
              </a:rPr>
              <a:t> Inactivation vs. CT, 8°C, pH =9.3</a:t>
            </a:r>
            <a:endParaRPr lang="en-US" sz="1100">
              <a:solidFill>
                <a:srgbClr val="0000CC"/>
              </a:solidFill>
            </a:endParaRPr>
          </a:p>
        </c:rich>
      </c:tx>
      <c:layout>
        <c:manualLayout>
          <c:xMode val="edge"/>
          <c:yMode val="edge"/>
          <c:x val="0.24876392624834934"/>
          <c:y val="1.583002779502316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7910011248593933E-2"/>
          <c:y val="0.15402507376276209"/>
          <c:w val="0.845292121093559"/>
          <c:h val="0.6937296385655638"/>
        </c:manualLayout>
      </c:layout>
      <c:scatterChart>
        <c:scatterStyle val="lineMarker"/>
        <c:varyColors val="0"/>
        <c:ser>
          <c:idx val="1"/>
          <c:order val="0"/>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intercept val="0"/>
            <c:dispRSqr val="0"/>
            <c:dispEq val="0"/>
          </c:trendline>
          <c:trendline>
            <c:spPr>
              <a:ln w="19050" cap="rnd">
                <a:solidFill>
                  <a:schemeClr val="accent2"/>
                </a:solidFill>
                <a:prstDash val="sysDot"/>
              </a:ln>
              <a:effectLst/>
            </c:spPr>
            <c:trendlineType val="linear"/>
            <c:intercept val="0"/>
            <c:dispRSqr val="1"/>
            <c:dispEq val="1"/>
            <c:trendlineLbl>
              <c:layout>
                <c:manualLayout>
                  <c:x val="-0.46386208245708416"/>
                  <c:y val="0.12509278432276424"/>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'14a'!$P$19:$P$22</c:f>
              <c:numCache>
                <c:formatCode>#,##0</c:formatCode>
                <c:ptCount val="4"/>
                <c:pt idx="0">
                  <c:v>0</c:v>
                </c:pt>
                <c:pt idx="1">
                  <c:v>8571.4285714285725</c:v>
                </c:pt>
                <c:pt idx="2">
                  <c:v>14285.714285714286</c:v>
                </c:pt>
                <c:pt idx="3">
                  <c:v>42857.142857142862</c:v>
                </c:pt>
              </c:numCache>
            </c:numRef>
          </c:xVal>
          <c:yVal>
            <c:numRef>
              <c:f>'14a'!$J$19:$J$22</c:f>
              <c:numCache>
                <c:formatCode>0.0</c:formatCode>
                <c:ptCount val="4"/>
                <c:pt idx="0">
                  <c:v>0</c:v>
                </c:pt>
                <c:pt idx="1">
                  <c:v>1.0377885608893997</c:v>
                </c:pt>
                <c:pt idx="2">
                  <c:v>3.4663973893278897</c:v>
                </c:pt>
                <c:pt idx="3">
                  <c:v>4.7781512503836439</c:v>
                </c:pt>
              </c:numCache>
            </c:numRef>
          </c:yVal>
          <c:smooth val="0"/>
          <c:extLst>
            <c:ext xmlns:c16="http://schemas.microsoft.com/office/drawing/2014/chart" uri="{C3380CC4-5D6E-409C-BE32-E72D297353CC}">
              <c16:uniqueId val="{00000000-72A7-4B19-8FB0-CA95CE91089F}"/>
            </c:ext>
          </c:extLst>
        </c:ser>
        <c:dLbls>
          <c:showLegendKey val="0"/>
          <c:showVal val="0"/>
          <c:showCatName val="0"/>
          <c:showSerName val="0"/>
          <c:showPercent val="0"/>
          <c:showBubbleSize val="0"/>
        </c:dLbls>
        <c:axId val="593669776"/>
        <c:axId val="650160976"/>
      </c:scatterChart>
      <c:valAx>
        <c:axId val="5936697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CT, mg/L∙min</a:t>
                </a:r>
              </a:p>
            </c:rich>
          </c:tx>
          <c:layout>
            <c:manualLayout>
              <c:xMode val="edge"/>
              <c:yMode val="edge"/>
              <c:x val="0.4457415628855021"/>
              <c:y val="0.946058221975334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160976"/>
        <c:crosses val="autoZero"/>
        <c:crossBetween val="midCat"/>
      </c:valAx>
      <c:valAx>
        <c:axId val="650160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669776"/>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00"/>
                </a:solidFill>
                <a:effectLst/>
              </a:rPr>
              <a:t>PM 4C-48hr Floor wash water with 1% Alconox, 5°C, pH = 9.18</a:t>
            </a:r>
          </a:p>
          <a:p>
            <a:pPr>
              <a:defRPr/>
            </a:pPr>
            <a:r>
              <a:rPr lang="en-US" sz="1100" b="0" i="0" kern="1200" spc="0" baseline="0">
                <a:solidFill>
                  <a:srgbClr val="000000"/>
                </a:solidFill>
                <a:effectLst/>
              </a:rPr>
              <a:t>48 hours extended contact prior to bleach addition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0102191024108123"/>
                  <c:y val="0.12929691442886088"/>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'PM 4C 48hr R'!$P$19:$P$21</c:f>
              <c:numCache>
                <c:formatCode>#,##0</c:formatCode>
                <c:ptCount val="3"/>
                <c:pt idx="0">
                  <c:v>0</c:v>
                </c:pt>
                <c:pt idx="1">
                  <c:v>8571.4285714285725</c:v>
                </c:pt>
                <c:pt idx="2">
                  <c:v>14285.714285714286</c:v>
                </c:pt>
              </c:numCache>
            </c:numRef>
          </c:xVal>
          <c:yVal>
            <c:numRef>
              <c:f>'PM 4C 48hr R'!$J$19:$J$21</c:f>
              <c:numCache>
                <c:formatCode>0.0</c:formatCode>
                <c:ptCount val="3"/>
                <c:pt idx="0">
                  <c:v>0</c:v>
                </c:pt>
                <c:pt idx="1">
                  <c:v>0.76235698320041134</c:v>
                </c:pt>
                <c:pt idx="2">
                  <c:v>2.7323937598229682</c:v>
                </c:pt>
              </c:numCache>
            </c:numRef>
          </c:yVal>
          <c:smooth val="0"/>
          <c:extLst>
            <c:ext xmlns:c16="http://schemas.microsoft.com/office/drawing/2014/chart" uri="{C3380CC4-5D6E-409C-BE32-E72D297353CC}">
              <c16:uniqueId val="{00000000-BC6A-4B30-A775-10BE2C081992}"/>
            </c:ext>
          </c:extLst>
        </c:ser>
        <c:dLbls>
          <c:showLegendKey val="0"/>
          <c:showVal val="0"/>
          <c:showCatName val="0"/>
          <c:showSerName val="0"/>
          <c:showPercent val="0"/>
          <c:showBubbleSize val="0"/>
        </c:dLbls>
        <c:axId val="655654176"/>
        <c:axId val="655654568"/>
      </c:scatterChart>
      <c:valAx>
        <c:axId val="6556541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654568"/>
        <c:crosses val="autoZero"/>
        <c:crossBetween val="midCat"/>
      </c:valAx>
      <c:valAx>
        <c:axId val="655654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6541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00"/>
                </a:solidFill>
                <a:effectLst/>
              </a:rPr>
              <a:t>PM 4C-96hr Floor wash water with 1% Alconox, 5°C, pH = 9.64</a:t>
            </a:r>
          </a:p>
          <a:p>
            <a:pPr>
              <a:defRPr/>
            </a:pPr>
            <a:r>
              <a:rPr lang="en-US" sz="1100" b="0" i="0" kern="1200" spc="0" baseline="0">
                <a:solidFill>
                  <a:srgbClr val="000000"/>
                </a:solidFill>
                <a:effectLst/>
              </a:rPr>
              <a:t>96 hours extended contact prior to bleach addition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0102191024108123"/>
                  <c:y val="0.12929691442886088"/>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'PM 4C 96hr R'!$P$19:$P$22</c:f>
              <c:numCache>
                <c:formatCode>#,##0</c:formatCode>
                <c:ptCount val="4"/>
                <c:pt idx="0">
                  <c:v>0</c:v>
                </c:pt>
                <c:pt idx="1">
                  <c:v>8571.4285714285725</c:v>
                </c:pt>
                <c:pt idx="2">
                  <c:v>14285.714285714286</c:v>
                </c:pt>
                <c:pt idx="3">
                  <c:v>28571.428571428572</c:v>
                </c:pt>
              </c:numCache>
            </c:numRef>
          </c:xVal>
          <c:yVal>
            <c:numRef>
              <c:f>'PM 4C 96hr R'!$J$19:$J$22</c:f>
              <c:numCache>
                <c:formatCode>0.0</c:formatCode>
                <c:ptCount val="4"/>
                <c:pt idx="0">
                  <c:v>0</c:v>
                </c:pt>
                <c:pt idx="1">
                  <c:v>1.5228787452803374</c:v>
                </c:pt>
                <c:pt idx="2">
                  <c:v>1.7569619513137056</c:v>
                </c:pt>
                <c:pt idx="3">
                  <c:v>4.8616973018337184</c:v>
                </c:pt>
              </c:numCache>
            </c:numRef>
          </c:yVal>
          <c:smooth val="0"/>
          <c:extLst>
            <c:ext xmlns:c16="http://schemas.microsoft.com/office/drawing/2014/chart" uri="{C3380CC4-5D6E-409C-BE32-E72D297353CC}">
              <c16:uniqueId val="{00000000-C637-46E7-9C37-64346C684EEF}"/>
            </c:ext>
          </c:extLst>
        </c:ser>
        <c:dLbls>
          <c:showLegendKey val="0"/>
          <c:showVal val="0"/>
          <c:showCatName val="0"/>
          <c:showSerName val="0"/>
          <c:showPercent val="0"/>
          <c:showBubbleSize val="0"/>
        </c:dLbls>
        <c:axId val="655655352"/>
        <c:axId val="655655744"/>
      </c:scatterChart>
      <c:valAx>
        <c:axId val="6556553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655744"/>
        <c:crosses val="autoZero"/>
        <c:crossBetween val="midCat"/>
      </c:valAx>
      <c:valAx>
        <c:axId val="655655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6553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00"/>
                </a:solidFill>
                <a:effectLst/>
              </a:rPr>
              <a:t>PM-0 Floor wash water with 1% Alconox, 20°C, pH = 9.21</a:t>
            </a:r>
          </a:p>
          <a:p>
            <a:pPr>
              <a:defRPr/>
            </a:pPr>
            <a:r>
              <a:rPr lang="en-US" sz="1100" b="0" i="0" kern="1200" spc="0" baseline="0">
                <a:solidFill>
                  <a:srgbClr val="000000"/>
                </a:solidFill>
                <a:effectLst/>
              </a:rPr>
              <a:t>0 hours extended contact prior to bleach addition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0102191024108123"/>
                  <c:y val="0.12929691442886088"/>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'PM 20C 0hr'!$P$19:$P$21</c:f>
              <c:numCache>
                <c:formatCode>#,##0</c:formatCode>
                <c:ptCount val="3"/>
                <c:pt idx="0">
                  <c:v>0</c:v>
                </c:pt>
                <c:pt idx="1">
                  <c:v>8571.4285714285725</c:v>
                </c:pt>
                <c:pt idx="2">
                  <c:v>14285.714285714286</c:v>
                </c:pt>
              </c:numCache>
            </c:numRef>
          </c:xVal>
          <c:yVal>
            <c:numRef>
              <c:f>'PM 20C 0hr'!$J$19:$J$21</c:f>
              <c:numCache>
                <c:formatCode>0.0</c:formatCode>
                <c:ptCount val="3"/>
                <c:pt idx="0">
                  <c:v>0</c:v>
                </c:pt>
                <c:pt idx="1">
                  <c:v>2.3896674827060478</c:v>
                </c:pt>
                <c:pt idx="2">
                  <c:v>4.6368220975871743</c:v>
                </c:pt>
              </c:numCache>
            </c:numRef>
          </c:yVal>
          <c:smooth val="0"/>
          <c:extLst>
            <c:ext xmlns:c16="http://schemas.microsoft.com/office/drawing/2014/chart" uri="{C3380CC4-5D6E-409C-BE32-E72D297353CC}">
              <c16:uniqueId val="{00000000-E93F-4ECB-9527-D31A91BC52DC}"/>
            </c:ext>
          </c:extLst>
        </c:ser>
        <c:dLbls>
          <c:showLegendKey val="0"/>
          <c:showVal val="0"/>
          <c:showCatName val="0"/>
          <c:showSerName val="0"/>
          <c:showPercent val="0"/>
          <c:showBubbleSize val="0"/>
        </c:dLbls>
        <c:axId val="655656528"/>
        <c:axId val="655656920"/>
      </c:scatterChart>
      <c:valAx>
        <c:axId val="65565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656920"/>
        <c:crosses val="autoZero"/>
        <c:crossBetween val="midCat"/>
      </c:valAx>
      <c:valAx>
        <c:axId val="655656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6565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00"/>
                </a:solidFill>
                <a:effectLst/>
              </a:rPr>
              <a:t>PM-48hr Repeat. Floor wash water with 1% Alconox, 20°C, pH = 9.05</a:t>
            </a:r>
          </a:p>
          <a:p>
            <a:pPr>
              <a:defRPr/>
            </a:pPr>
            <a:r>
              <a:rPr lang="en-US" sz="1100" b="0" i="0" kern="1200" spc="0" baseline="0">
                <a:solidFill>
                  <a:srgbClr val="000000"/>
                </a:solidFill>
                <a:effectLst/>
              </a:rPr>
              <a:t>48 hours extended contact prior to bleach addition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51581883440796"/>
          <c:y val="0.15096244111016194"/>
          <c:w val="0.82999204319865283"/>
          <c:h val="0.66718103064351619"/>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7308446216523223"/>
                  <c:y val="3.3151483899762554E-4"/>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'PM 20C 48hr R'!$P$19:$P$20</c:f>
              <c:numCache>
                <c:formatCode>#,##0</c:formatCode>
                <c:ptCount val="2"/>
                <c:pt idx="0">
                  <c:v>0</c:v>
                </c:pt>
                <c:pt idx="1">
                  <c:v>8571.4285714285725</c:v>
                </c:pt>
              </c:numCache>
            </c:numRef>
          </c:xVal>
          <c:yVal>
            <c:numRef>
              <c:f>'PM 20C 48hr R'!$J$19:$J$20</c:f>
              <c:numCache>
                <c:formatCode>0.0</c:formatCode>
                <c:ptCount val="2"/>
                <c:pt idx="0">
                  <c:v>0</c:v>
                </c:pt>
                <c:pt idx="1">
                  <c:v>3.9542425094393252</c:v>
                </c:pt>
              </c:numCache>
            </c:numRef>
          </c:yVal>
          <c:smooth val="0"/>
          <c:extLst>
            <c:ext xmlns:c16="http://schemas.microsoft.com/office/drawing/2014/chart" uri="{C3380CC4-5D6E-409C-BE32-E72D297353CC}">
              <c16:uniqueId val="{00000000-6C61-4597-8063-0B4AA93D823D}"/>
            </c:ext>
          </c:extLst>
        </c:ser>
        <c:dLbls>
          <c:showLegendKey val="0"/>
          <c:showVal val="0"/>
          <c:showCatName val="0"/>
          <c:showSerName val="0"/>
          <c:showPercent val="0"/>
          <c:showBubbleSize val="0"/>
        </c:dLbls>
        <c:axId val="655657704"/>
        <c:axId val="655658096"/>
      </c:scatterChart>
      <c:valAx>
        <c:axId val="6556577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658096"/>
        <c:crosses val="autoZero"/>
        <c:crossBetween val="midCat"/>
      </c:valAx>
      <c:valAx>
        <c:axId val="655658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657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00"/>
                </a:solidFill>
                <a:effectLst/>
              </a:rPr>
              <a:t>PM-96hr R2. Floor wash water with 1% Alconox, 20°C, pH = 9.34</a:t>
            </a:r>
          </a:p>
          <a:p>
            <a:pPr>
              <a:defRPr/>
            </a:pPr>
            <a:r>
              <a:rPr lang="en-US" sz="1100" b="0" i="0" kern="1200" spc="0" baseline="0">
                <a:solidFill>
                  <a:srgbClr val="000000"/>
                </a:solidFill>
                <a:effectLst/>
              </a:rPr>
              <a:t>96 hours extended contact prior to bleach addition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51581883440796"/>
          <c:y val="0.15096244111016194"/>
          <c:w val="0.82999204319865283"/>
          <c:h val="0.66718103064351619"/>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57308446216523223"/>
                  <c:y val="3.3151483899762554E-4"/>
                </c:manualLayout>
              </c:layout>
              <c:numFmt formatCode="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'PM 20C 48hr R'!$P$19:$P$20</c:f>
              <c:numCache>
                <c:formatCode>#,##0</c:formatCode>
                <c:ptCount val="2"/>
                <c:pt idx="0">
                  <c:v>0</c:v>
                </c:pt>
                <c:pt idx="1">
                  <c:v>8571.4285714285725</c:v>
                </c:pt>
              </c:numCache>
            </c:numRef>
          </c:xVal>
          <c:yVal>
            <c:numRef>
              <c:f>'PM 20C 48hr R'!$J$19:$J$20</c:f>
              <c:numCache>
                <c:formatCode>0.0</c:formatCode>
                <c:ptCount val="2"/>
                <c:pt idx="0">
                  <c:v>0</c:v>
                </c:pt>
                <c:pt idx="1">
                  <c:v>3.9542425094393252</c:v>
                </c:pt>
              </c:numCache>
            </c:numRef>
          </c:yVal>
          <c:smooth val="0"/>
          <c:extLst>
            <c:ext xmlns:c16="http://schemas.microsoft.com/office/drawing/2014/chart" uri="{C3380CC4-5D6E-409C-BE32-E72D297353CC}">
              <c16:uniqueId val="{00000000-C280-49AE-800D-BA8DBCDC6E7F}"/>
            </c:ext>
          </c:extLst>
        </c:ser>
        <c:dLbls>
          <c:showLegendKey val="0"/>
          <c:showVal val="0"/>
          <c:showCatName val="0"/>
          <c:showSerName val="0"/>
          <c:showPercent val="0"/>
          <c:showBubbleSize val="0"/>
        </c:dLbls>
        <c:axId val="655658880"/>
        <c:axId val="655659272"/>
      </c:scatterChart>
      <c:valAx>
        <c:axId val="6556588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Concentration∙time</a:t>
                </a:r>
                <a:r>
                  <a:rPr lang="en-US" baseline="0"/>
                  <a:t> (mg Cl</a:t>
                </a:r>
                <a:r>
                  <a:rPr lang="en-US" baseline="-25000"/>
                  <a:t>2</a:t>
                </a:r>
                <a:r>
                  <a:rPr lang="en-US" baseline="0"/>
                  <a:t>/L∙min)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659272"/>
        <c:crosses val="autoZero"/>
        <c:crossBetween val="midCat"/>
      </c:valAx>
      <c:valAx>
        <c:axId val="655659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inactivation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6588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14b Floor washwater with MHRW and alconox</a:t>
            </a:r>
            <a:endParaRPr lang="en-US" sz="1100">
              <a:effectLst/>
            </a:endParaRPr>
          </a:p>
          <a:p>
            <a:pPr>
              <a:defRPr/>
            </a:pPr>
            <a:r>
              <a:rPr lang="en-US" sz="1100" b="0" i="0" kern="1200" spc="0" baseline="0">
                <a:solidFill>
                  <a:srgbClr val="0000CC"/>
                </a:solidFill>
                <a:effectLst/>
              </a:rPr>
              <a:t>Log Inactivation vs. CT, 6°C, pH =9.3</a:t>
            </a:r>
            <a:endParaRPr lang="en-US" sz="1100">
              <a:effectLst/>
            </a:endParaRPr>
          </a:p>
        </c:rich>
      </c:tx>
      <c:layout>
        <c:manualLayout>
          <c:xMode val="edge"/>
          <c:yMode val="edge"/>
          <c:x val="0.20418744531933508"/>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503645598475025E-2"/>
          <c:y val="0.13273866530063771"/>
          <c:w val="0.85582264400693997"/>
          <c:h val="0.7892687763174856"/>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numFmt formatCode="0.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'14b'!$P$19:$P$22</c:f>
              <c:numCache>
                <c:formatCode>#,##0</c:formatCode>
                <c:ptCount val="4"/>
                <c:pt idx="0">
                  <c:v>0</c:v>
                </c:pt>
                <c:pt idx="1">
                  <c:v>8571.4285714285725</c:v>
                </c:pt>
                <c:pt idx="2">
                  <c:v>14285.714285714286</c:v>
                </c:pt>
                <c:pt idx="3">
                  <c:v>28571.428571428572</c:v>
                </c:pt>
              </c:numCache>
            </c:numRef>
          </c:xVal>
          <c:yVal>
            <c:numRef>
              <c:f>'14b'!$J$19:$J$22</c:f>
              <c:numCache>
                <c:formatCode>0.0</c:formatCode>
                <c:ptCount val="4"/>
                <c:pt idx="0">
                  <c:v>0</c:v>
                </c:pt>
                <c:pt idx="1">
                  <c:v>0.65154535440788042</c:v>
                </c:pt>
                <c:pt idx="2">
                  <c:v>3.5228787452803378</c:v>
                </c:pt>
                <c:pt idx="3">
                  <c:v>5.1139433523068369</c:v>
                </c:pt>
              </c:numCache>
            </c:numRef>
          </c:yVal>
          <c:smooth val="0"/>
          <c:extLst>
            <c:ext xmlns:c16="http://schemas.microsoft.com/office/drawing/2014/chart" uri="{C3380CC4-5D6E-409C-BE32-E72D297353CC}">
              <c16:uniqueId val="{00000000-405E-4FA6-9196-3062A1AAD437}"/>
            </c:ext>
          </c:extLst>
        </c:ser>
        <c:dLbls>
          <c:showLegendKey val="0"/>
          <c:showVal val="0"/>
          <c:showCatName val="0"/>
          <c:showSerName val="0"/>
          <c:showPercent val="0"/>
          <c:showBubbleSize val="0"/>
        </c:dLbls>
        <c:axId val="650161760"/>
        <c:axId val="650162152"/>
      </c:scatterChart>
      <c:valAx>
        <c:axId val="6501617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162152"/>
        <c:crosses val="autoZero"/>
        <c:crossBetween val="midCat"/>
      </c:valAx>
      <c:valAx>
        <c:axId val="6501621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1617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kern="1200" spc="0" baseline="0">
                <a:solidFill>
                  <a:srgbClr val="0000CC"/>
                </a:solidFill>
                <a:effectLst/>
              </a:rPr>
              <a:t>14c Floor washwater with MHRW and alconox</a:t>
            </a:r>
            <a:endParaRPr lang="en-US" sz="1100">
              <a:effectLst/>
            </a:endParaRPr>
          </a:p>
          <a:p>
            <a:pPr>
              <a:defRPr/>
            </a:pPr>
            <a:r>
              <a:rPr lang="en-US" sz="1100" b="0" i="0" kern="1200" spc="0" baseline="0">
                <a:solidFill>
                  <a:srgbClr val="0000CC"/>
                </a:solidFill>
                <a:effectLst/>
              </a:rPr>
              <a:t>Log Inactivation vs. CT, 5°C, pH =9.2</a:t>
            </a:r>
            <a:endParaRPr lang="en-US" sz="1100">
              <a:effectLst/>
            </a:endParaRPr>
          </a:p>
        </c:rich>
      </c:tx>
      <c:layout>
        <c:manualLayout>
          <c:xMode val="edge"/>
          <c:yMode val="edge"/>
          <c:x val="0.19897930753167611"/>
          <c:y val="3.5800903914612364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133784233514837E-2"/>
          <c:y val="0.1455958543977339"/>
          <c:w val="0.84857026626942"/>
          <c:h val="0.7764115609011879"/>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35231884757032156"/>
                  <c:y val="-2.5733186246702615E-2"/>
                </c:manualLayout>
              </c:layout>
              <c:numFmt formatCode="0.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'14c'!$P$19:$P$24</c:f>
              <c:numCache>
                <c:formatCode>#,##0</c:formatCode>
                <c:ptCount val="6"/>
                <c:pt idx="0">
                  <c:v>0</c:v>
                </c:pt>
                <c:pt idx="1">
                  <c:v>8571.4285714285725</c:v>
                </c:pt>
                <c:pt idx="2">
                  <c:v>14285.714285714286</c:v>
                </c:pt>
                <c:pt idx="3">
                  <c:v>28571.428571428572</c:v>
                </c:pt>
                <c:pt idx="4">
                  <c:v>42857.142857142862</c:v>
                </c:pt>
                <c:pt idx="5">
                  <c:v>85714.285714285725</c:v>
                </c:pt>
              </c:numCache>
            </c:numRef>
          </c:xVal>
          <c:yVal>
            <c:numRef>
              <c:f>'14c'!$J$19:$J$24</c:f>
              <c:numCache>
                <c:formatCode>0.0</c:formatCode>
                <c:ptCount val="6"/>
                <c:pt idx="0">
                  <c:v>0</c:v>
                </c:pt>
                <c:pt idx="1">
                  <c:v>0.71369326115672482</c:v>
                </c:pt>
                <c:pt idx="2">
                  <c:v>2.3309932190414244</c:v>
                </c:pt>
                <c:pt idx="3">
                  <c:v>4.3157532524846882</c:v>
                </c:pt>
                <c:pt idx="4">
                  <c:v>4.6020599913279625</c:v>
                </c:pt>
                <c:pt idx="5">
                  <c:v>5.4771212547196626</c:v>
                </c:pt>
              </c:numCache>
            </c:numRef>
          </c:yVal>
          <c:smooth val="0"/>
          <c:extLst>
            <c:ext xmlns:c16="http://schemas.microsoft.com/office/drawing/2014/chart" uri="{C3380CC4-5D6E-409C-BE32-E72D297353CC}">
              <c16:uniqueId val="{00000000-F2D2-45B5-8B42-DA402D4FD89B}"/>
            </c:ext>
          </c:extLst>
        </c:ser>
        <c:dLbls>
          <c:showLegendKey val="0"/>
          <c:showVal val="0"/>
          <c:showCatName val="0"/>
          <c:showSerName val="0"/>
          <c:showPercent val="0"/>
          <c:showBubbleSize val="0"/>
        </c:dLbls>
        <c:axId val="593590112"/>
        <c:axId val="593590504"/>
      </c:scatterChart>
      <c:valAx>
        <c:axId val="5935901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590504"/>
        <c:crosses val="autoZero"/>
        <c:crossBetween val="midCat"/>
      </c:valAx>
      <c:valAx>
        <c:axId val="5935905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5901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96.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98.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74.xml"/></Relationships>
</file>

<file path=xl/drawings/drawing1.xml><?xml version="1.0" encoding="utf-8"?>
<xdr:wsDr xmlns:xdr="http://schemas.openxmlformats.org/drawingml/2006/spreadsheetDrawing" xmlns:a="http://schemas.openxmlformats.org/drawingml/2006/main">
  <xdr:twoCellAnchor>
    <xdr:from>
      <xdr:col>8</xdr:col>
      <xdr:colOff>203200</xdr:colOff>
      <xdr:row>0</xdr:row>
      <xdr:rowOff>63501</xdr:rowOff>
    </xdr:from>
    <xdr:to>
      <xdr:col>17</xdr:col>
      <xdr:colOff>0</xdr:colOff>
      <xdr:row>15</xdr:row>
      <xdr:rowOff>101601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317501</xdr:colOff>
      <xdr:row>0</xdr:row>
      <xdr:rowOff>84667</xdr:rowOff>
    </xdr:from>
    <xdr:to>
      <xdr:col>17</xdr:col>
      <xdr:colOff>63500</xdr:colOff>
      <xdr:row>16</xdr:row>
      <xdr:rowOff>42332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349248</xdr:colOff>
      <xdr:row>0</xdr:row>
      <xdr:rowOff>52917</xdr:rowOff>
    </xdr:from>
    <xdr:to>
      <xdr:col>16</xdr:col>
      <xdr:colOff>603248</xdr:colOff>
      <xdr:row>15</xdr:row>
      <xdr:rowOff>52916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296332</xdr:colOff>
      <xdr:row>0</xdr:row>
      <xdr:rowOff>10584</xdr:rowOff>
    </xdr:from>
    <xdr:to>
      <xdr:col>16</xdr:col>
      <xdr:colOff>582082</xdr:colOff>
      <xdr:row>15</xdr:row>
      <xdr:rowOff>10583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21167</xdr:colOff>
      <xdr:row>0</xdr:row>
      <xdr:rowOff>74084</xdr:rowOff>
    </xdr:from>
    <xdr:to>
      <xdr:col>17</xdr:col>
      <xdr:colOff>349250</xdr:colOff>
      <xdr:row>16</xdr:row>
      <xdr:rowOff>42333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84666</xdr:colOff>
      <xdr:row>0</xdr:row>
      <xdr:rowOff>21168</xdr:rowOff>
    </xdr:from>
    <xdr:to>
      <xdr:col>16</xdr:col>
      <xdr:colOff>222250</xdr:colOff>
      <xdr:row>16</xdr:row>
      <xdr:rowOff>84668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211664</xdr:colOff>
      <xdr:row>0</xdr:row>
      <xdr:rowOff>52919</xdr:rowOff>
    </xdr:from>
    <xdr:to>
      <xdr:col>17</xdr:col>
      <xdr:colOff>529166</xdr:colOff>
      <xdr:row>16</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486834</xdr:colOff>
      <xdr:row>0</xdr:row>
      <xdr:rowOff>42334</xdr:rowOff>
    </xdr:from>
    <xdr:to>
      <xdr:col>16</xdr:col>
      <xdr:colOff>571500</xdr:colOff>
      <xdr:row>16</xdr:row>
      <xdr:rowOff>52917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603249</xdr:colOff>
      <xdr:row>0</xdr:row>
      <xdr:rowOff>21167</xdr:rowOff>
    </xdr:from>
    <xdr:to>
      <xdr:col>15</xdr:col>
      <xdr:colOff>285749</xdr:colOff>
      <xdr:row>16</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254000</xdr:colOff>
      <xdr:row>0</xdr:row>
      <xdr:rowOff>52917</xdr:rowOff>
    </xdr:from>
    <xdr:to>
      <xdr:col>16</xdr:col>
      <xdr:colOff>42333</xdr:colOff>
      <xdr:row>16</xdr:row>
      <xdr:rowOff>148167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539750</xdr:colOff>
      <xdr:row>0</xdr:row>
      <xdr:rowOff>84668</xdr:rowOff>
    </xdr:from>
    <xdr:to>
      <xdr:col>15</xdr:col>
      <xdr:colOff>158750</xdr:colOff>
      <xdr:row>16</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306915</xdr:colOff>
      <xdr:row>0</xdr:row>
      <xdr:rowOff>10583</xdr:rowOff>
    </xdr:from>
    <xdr:to>
      <xdr:col>16</xdr:col>
      <xdr:colOff>158749</xdr:colOff>
      <xdr:row>15</xdr:row>
      <xdr:rowOff>158750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0.49065</cdr:x>
      <cdr:y>0.17808</cdr:y>
    </cdr:from>
    <cdr:to>
      <cdr:x>0.72897</cdr:x>
      <cdr:y>0.32534</cdr:y>
    </cdr:to>
    <cdr:sp macro="" textlink="">
      <cdr:nvSpPr>
        <cdr:cNvPr id="2" name="TextBox 1"/>
        <cdr:cNvSpPr txBox="1"/>
      </cdr:nvSpPr>
      <cdr:spPr>
        <a:xfrm xmlns:a="http://schemas.openxmlformats.org/drawingml/2006/main">
          <a:off x="2222500" y="550331"/>
          <a:ext cx="1079500" cy="4550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1st batch of carwash water</a:t>
          </a:r>
        </a:p>
      </cdr:txBody>
    </cdr:sp>
  </cdr:relSizeAnchor>
</c:userShapes>
</file>

<file path=xl/drawings/drawing21.xml><?xml version="1.0" encoding="utf-8"?>
<xdr:wsDr xmlns:xdr="http://schemas.openxmlformats.org/drawingml/2006/spreadsheetDrawing" xmlns:a="http://schemas.openxmlformats.org/drawingml/2006/main">
  <xdr:twoCellAnchor>
    <xdr:from>
      <xdr:col>7</xdr:col>
      <xdr:colOff>148166</xdr:colOff>
      <xdr:row>0</xdr:row>
      <xdr:rowOff>42334</xdr:rowOff>
    </xdr:from>
    <xdr:to>
      <xdr:col>14</xdr:col>
      <xdr:colOff>423333</xdr:colOff>
      <xdr:row>16</xdr:row>
      <xdr:rowOff>105833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0.49074</cdr:x>
      <cdr:y>0.2619</cdr:y>
    </cdr:from>
    <cdr:to>
      <cdr:x>0.7338</cdr:x>
      <cdr:y>0.40816</cdr:y>
    </cdr:to>
    <cdr:sp macro="" textlink="">
      <cdr:nvSpPr>
        <cdr:cNvPr id="2" name="TextBox 1"/>
        <cdr:cNvSpPr txBox="1"/>
      </cdr:nvSpPr>
      <cdr:spPr>
        <a:xfrm xmlns:a="http://schemas.openxmlformats.org/drawingml/2006/main">
          <a:off x="2243667" y="814916"/>
          <a:ext cx="1111250" cy="455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1st batch of carwash water</a:t>
          </a:r>
          <a:endParaRPr lang="en-US">
            <a:effectLst/>
          </a:endParaRPr>
        </a:p>
        <a:p xmlns:a="http://schemas.openxmlformats.org/drawingml/2006/main">
          <a:endParaRPr lang="en-US" sz="1100"/>
        </a:p>
      </cdr:txBody>
    </cdr:sp>
  </cdr:relSizeAnchor>
</c:userShapes>
</file>

<file path=xl/drawings/drawing23.xml><?xml version="1.0" encoding="utf-8"?>
<xdr:wsDr xmlns:xdr="http://schemas.openxmlformats.org/drawingml/2006/spreadsheetDrawing" xmlns:a="http://schemas.openxmlformats.org/drawingml/2006/main">
  <xdr:twoCellAnchor>
    <xdr:from>
      <xdr:col>8</xdr:col>
      <xdr:colOff>243416</xdr:colOff>
      <xdr:row>0</xdr:row>
      <xdr:rowOff>42334</xdr:rowOff>
    </xdr:from>
    <xdr:to>
      <xdr:col>15</xdr:col>
      <xdr:colOff>359833</xdr:colOff>
      <xdr:row>16</xdr:row>
      <xdr:rowOff>169334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0.48201</cdr:x>
      <cdr:y>0.19333</cdr:y>
    </cdr:from>
    <cdr:to>
      <cdr:x>0.73381</cdr:x>
      <cdr:y>0.34333</cdr:y>
    </cdr:to>
    <cdr:sp macro="" textlink="">
      <cdr:nvSpPr>
        <cdr:cNvPr id="2" name="TextBox 1"/>
        <cdr:cNvSpPr txBox="1"/>
      </cdr:nvSpPr>
      <cdr:spPr>
        <a:xfrm xmlns:a="http://schemas.openxmlformats.org/drawingml/2006/main">
          <a:off x="2127251" y="613833"/>
          <a:ext cx="1111250"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1st batch of carwash water</a:t>
          </a:r>
          <a:endParaRPr lang="en-US">
            <a:effectLst/>
          </a:endParaRPr>
        </a:p>
        <a:p xmlns:a="http://schemas.openxmlformats.org/drawingml/2006/main">
          <a:endParaRPr lang="en-US" sz="1100"/>
        </a:p>
      </cdr:txBody>
    </cdr:sp>
  </cdr:relSizeAnchor>
</c:userShapes>
</file>

<file path=xl/drawings/drawing25.xml><?xml version="1.0" encoding="utf-8"?>
<xdr:wsDr xmlns:xdr="http://schemas.openxmlformats.org/drawingml/2006/spreadsheetDrawing" xmlns:a="http://schemas.openxmlformats.org/drawingml/2006/main">
  <xdr:twoCellAnchor>
    <xdr:from>
      <xdr:col>7</xdr:col>
      <xdr:colOff>243416</xdr:colOff>
      <xdr:row>0</xdr:row>
      <xdr:rowOff>52918</xdr:rowOff>
    </xdr:from>
    <xdr:to>
      <xdr:col>15</xdr:col>
      <xdr:colOff>179916</xdr:colOff>
      <xdr:row>15</xdr:row>
      <xdr:rowOff>116417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0.43696</cdr:x>
      <cdr:y>0.25</cdr:y>
    </cdr:from>
    <cdr:to>
      <cdr:x>0.6587</cdr:x>
      <cdr:y>0.43116</cdr:y>
    </cdr:to>
    <cdr:sp macro="" textlink="">
      <cdr:nvSpPr>
        <cdr:cNvPr id="2" name="TextBox 1"/>
        <cdr:cNvSpPr txBox="1"/>
      </cdr:nvSpPr>
      <cdr:spPr>
        <a:xfrm xmlns:a="http://schemas.openxmlformats.org/drawingml/2006/main">
          <a:off x="2127250" y="730248"/>
          <a:ext cx="1079500" cy="529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2nd batch</a:t>
          </a:r>
          <a:r>
            <a:rPr lang="en-US" sz="1100" baseline="0"/>
            <a:t> of carwash water</a:t>
          </a:r>
          <a:endParaRPr lang="en-US" sz="1100"/>
        </a:p>
      </cdr:txBody>
    </cdr:sp>
  </cdr:relSizeAnchor>
</c:userShapes>
</file>

<file path=xl/drawings/drawing27.xml><?xml version="1.0" encoding="utf-8"?>
<xdr:wsDr xmlns:xdr="http://schemas.openxmlformats.org/drawingml/2006/spreadsheetDrawing" xmlns:a="http://schemas.openxmlformats.org/drawingml/2006/main">
  <xdr:twoCellAnchor>
    <xdr:from>
      <xdr:col>7</xdr:col>
      <xdr:colOff>486832</xdr:colOff>
      <xdr:row>0</xdr:row>
      <xdr:rowOff>21168</xdr:rowOff>
    </xdr:from>
    <xdr:to>
      <xdr:col>15</xdr:col>
      <xdr:colOff>137583</xdr:colOff>
      <xdr:row>16</xdr:row>
      <xdr:rowOff>84668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0.44573</cdr:x>
      <cdr:y>0.19048</cdr:y>
    </cdr:from>
    <cdr:to>
      <cdr:x>0.67898</cdr:x>
      <cdr:y>0.34694</cdr:y>
    </cdr:to>
    <cdr:sp macro="" textlink="">
      <cdr:nvSpPr>
        <cdr:cNvPr id="2" name="TextBox 1"/>
        <cdr:cNvSpPr txBox="1"/>
      </cdr:nvSpPr>
      <cdr:spPr>
        <a:xfrm xmlns:a="http://schemas.openxmlformats.org/drawingml/2006/main">
          <a:off x="2042584" y="592665"/>
          <a:ext cx="1068917" cy="4868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2nd batch of carwash water</a:t>
          </a:r>
        </a:p>
      </cdr:txBody>
    </cdr:sp>
  </cdr:relSizeAnchor>
</c:userShapes>
</file>

<file path=xl/drawings/drawing29.xml><?xml version="1.0" encoding="utf-8"?>
<xdr:wsDr xmlns:xdr="http://schemas.openxmlformats.org/drawingml/2006/spreadsheetDrawing" xmlns:a="http://schemas.openxmlformats.org/drawingml/2006/main">
  <xdr:twoCellAnchor>
    <xdr:from>
      <xdr:col>7</xdr:col>
      <xdr:colOff>148166</xdr:colOff>
      <xdr:row>0</xdr:row>
      <xdr:rowOff>0</xdr:rowOff>
    </xdr:from>
    <xdr:to>
      <xdr:col>14</xdr:col>
      <xdr:colOff>603250</xdr:colOff>
      <xdr:row>17</xdr:row>
      <xdr:rowOff>105833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444499</xdr:colOff>
      <xdr:row>0</xdr:row>
      <xdr:rowOff>31751</xdr:rowOff>
    </xdr:from>
    <xdr:to>
      <xdr:col>15</xdr:col>
      <xdr:colOff>380999</xdr:colOff>
      <xdr:row>16</xdr:row>
      <xdr:rowOff>84667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0.44346</cdr:x>
      <cdr:y>0.23734</cdr:y>
    </cdr:from>
    <cdr:to>
      <cdr:x>0.72284</cdr:x>
      <cdr:y>0.38608</cdr:y>
    </cdr:to>
    <cdr:sp macro="" textlink="">
      <cdr:nvSpPr>
        <cdr:cNvPr id="2" name="TextBox 1"/>
        <cdr:cNvSpPr txBox="1"/>
      </cdr:nvSpPr>
      <cdr:spPr>
        <a:xfrm xmlns:a="http://schemas.openxmlformats.org/drawingml/2006/main">
          <a:off x="2116667" y="793750"/>
          <a:ext cx="1333500" cy="4974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2nd batch of carwash water</a:t>
          </a:r>
        </a:p>
      </cdr:txBody>
    </cdr:sp>
  </cdr:relSizeAnchor>
</c:userShapes>
</file>

<file path=xl/drawings/drawing31.xml><?xml version="1.0" encoding="utf-8"?>
<xdr:wsDr xmlns:xdr="http://schemas.openxmlformats.org/drawingml/2006/spreadsheetDrawing" xmlns:a="http://schemas.openxmlformats.org/drawingml/2006/main">
  <xdr:twoCellAnchor>
    <xdr:from>
      <xdr:col>7</xdr:col>
      <xdr:colOff>117475</xdr:colOff>
      <xdr:row>0</xdr:row>
      <xdr:rowOff>0</xdr:rowOff>
    </xdr:from>
    <xdr:to>
      <xdr:col>14</xdr:col>
      <xdr:colOff>381000</xdr:colOff>
      <xdr:row>16</xdr:row>
      <xdr:rowOff>116417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0.37082</cdr:x>
      <cdr:y>0.21122</cdr:y>
    </cdr:from>
    <cdr:to>
      <cdr:x>0.6082</cdr:x>
      <cdr:y>0.38614</cdr:y>
    </cdr:to>
    <cdr:sp macro="" textlink="">
      <cdr:nvSpPr>
        <cdr:cNvPr id="2" name="TextBox 1"/>
        <cdr:cNvSpPr txBox="1"/>
      </cdr:nvSpPr>
      <cdr:spPr>
        <a:xfrm xmlns:a="http://schemas.openxmlformats.org/drawingml/2006/main">
          <a:off x="1702858" y="677333"/>
          <a:ext cx="1090084" cy="560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2nd batch</a:t>
          </a:r>
          <a:r>
            <a:rPr lang="en-US" sz="1100" baseline="0"/>
            <a:t> of carwash water</a:t>
          </a:r>
          <a:endParaRPr lang="en-US" sz="1100"/>
        </a:p>
      </cdr:txBody>
    </cdr:sp>
  </cdr:relSizeAnchor>
</c:userShapes>
</file>

<file path=xl/drawings/drawing33.xml><?xml version="1.0" encoding="utf-8"?>
<xdr:wsDr xmlns:xdr="http://schemas.openxmlformats.org/drawingml/2006/spreadsheetDrawing" xmlns:a="http://schemas.openxmlformats.org/drawingml/2006/main">
  <xdr:twoCellAnchor>
    <xdr:from>
      <xdr:col>9</xdr:col>
      <xdr:colOff>317500</xdr:colOff>
      <xdr:row>0</xdr:row>
      <xdr:rowOff>0</xdr:rowOff>
    </xdr:from>
    <xdr:to>
      <xdr:col>16</xdr:col>
      <xdr:colOff>1058333</xdr:colOff>
      <xdr:row>16</xdr:row>
      <xdr:rowOff>84667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0.36831</cdr:x>
      <cdr:y>0.20608</cdr:y>
    </cdr:from>
    <cdr:to>
      <cdr:x>0.5823</cdr:x>
      <cdr:y>0.38176</cdr:y>
    </cdr:to>
    <cdr:sp macro="" textlink="">
      <cdr:nvSpPr>
        <cdr:cNvPr id="2" name="TextBox 1"/>
        <cdr:cNvSpPr txBox="1"/>
      </cdr:nvSpPr>
      <cdr:spPr>
        <a:xfrm xmlns:a="http://schemas.openxmlformats.org/drawingml/2006/main">
          <a:off x="1894416" y="645583"/>
          <a:ext cx="1100667" cy="5503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3rd</a:t>
          </a:r>
          <a:r>
            <a:rPr lang="en-US" sz="1100" baseline="0"/>
            <a:t> batch of carwash water</a:t>
          </a:r>
          <a:endParaRPr lang="en-US" sz="1100"/>
        </a:p>
      </cdr:txBody>
    </cdr:sp>
  </cdr:relSizeAnchor>
</c:userShapes>
</file>

<file path=xl/drawings/drawing35.xml><?xml version="1.0" encoding="utf-8"?>
<xdr:wsDr xmlns:xdr="http://schemas.openxmlformats.org/drawingml/2006/spreadsheetDrawing" xmlns:a="http://schemas.openxmlformats.org/drawingml/2006/main">
  <xdr:twoCellAnchor>
    <xdr:from>
      <xdr:col>7</xdr:col>
      <xdr:colOff>170392</xdr:colOff>
      <xdr:row>0</xdr:row>
      <xdr:rowOff>0</xdr:rowOff>
    </xdr:from>
    <xdr:to>
      <xdr:col>14</xdr:col>
      <xdr:colOff>425450</xdr:colOff>
      <xdr:row>15</xdr:row>
      <xdr:rowOff>35984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0.40014</cdr:x>
      <cdr:y>0.29627</cdr:y>
    </cdr:from>
    <cdr:to>
      <cdr:x>0.65008</cdr:x>
      <cdr:y>0.45721</cdr:y>
    </cdr:to>
    <cdr:sp macro="" textlink="">
      <cdr:nvSpPr>
        <cdr:cNvPr id="2" name="TextBox 1"/>
        <cdr:cNvSpPr txBox="1"/>
      </cdr:nvSpPr>
      <cdr:spPr>
        <a:xfrm xmlns:a="http://schemas.openxmlformats.org/drawingml/2006/main">
          <a:off x="1829858" y="857249"/>
          <a:ext cx="1143000" cy="465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3rd batch of</a:t>
          </a:r>
          <a:r>
            <a:rPr lang="en-US" sz="1100" baseline="0"/>
            <a:t> carwash water</a:t>
          </a:r>
        </a:p>
        <a:p xmlns:a="http://schemas.openxmlformats.org/drawingml/2006/main">
          <a:endParaRPr lang="en-US" sz="1100"/>
        </a:p>
      </cdr:txBody>
    </cdr:sp>
  </cdr:relSizeAnchor>
</c:userShapes>
</file>

<file path=xl/drawings/drawing37.xml><?xml version="1.0" encoding="utf-8"?>
<xdr:wsDr xmlns:xdr="http://schemas.openxmlformats.org/drawingml/2006/spreadsheetDrawing" xmlns:a="http://schemas.openxmlformats.org/drawingml/2006/main">
  <xdr:twoCellAnchor>
    <xdr:from>
      <xdr:col>8</xdr:col>
      <xdr:colOff>571500</xdr:colOff>
      <xdr:row>0</xdr:row>
      <xdr:rowOff>47625</xdr:rowOff>
    </xdr:from>
    <xdr:to>
      <xdr:col>16</xdr:col>
      <xdr:colOff>342900</xdr:colOff>
      <xdr:row>16</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0.47111</cdr:x>
      <cdr:y>0.23045</cdr:y>
    </cdr:from>
    <cdr:to>
      <cdr:x>0.70387</cdr:x>
      <cdr:y>0.39239</cdr:y>
    </cdr:to>
    <cdr:sp macro="" textlink="">
      <cdr:nvSpPr>
        <cdr:cNvPr id="2" name="TextBox 1"/>
        <cdr:cNvSpPr txBox="1"/>
      </cdr:nvSpPr>
      <cdr:spPr>
        <a:xfrm xmlns:a="http://schemas.openxmlformats.org/drawingml/2006/main">
          <a:off x="2139949" y="704850"/>
          <a:ext cx="1057275"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3rd batch of</a:t>
          </a:r>
          <a:r>
            <a:rPr lang="en-US" sz="1100" baseline="0">
              <a:effectLst/>
              <a:latin typeface="+mn-lt"/>
              <a:ea typeface="+mn-ea"/>
              <a:cs typeface="+mn-cs"/>
            </a:rPr>
            <a:t> carwash water</a:t>
          </a:r>
          <a:endParaRPr lang="en-US">
            <a:effectLst/>
          </a:endParaRPr>
        </a:p>
        <a:p xmlns:a="http://schemas.openxmlformats.org/drawingml/2006/main">
          <a:endParaRPr lang="en-US" sz="1100"/>
        </a:p>
      </cdr:txBody>
    </cdr:sp>
  </cdr:relSizeAnchor>
</c:userShapes>
</file>

<file path=xl/drawings/drawing39.xml><?xml version="1.0" encoding="utf-8"?>
<xdr:wsDr xmlns:xdr="http://schemas.openxmlformats.org/drawingml/2006/spreadsheetDrawing" xmlns:a="http://schemas.openxmlformats.org/drawingml/2006/main">
  <xdr:twoCellAnchor>
    <xdr:from>
      <xdr:col>8</xdr:col>
      <xdr:colOff>95250</xdr:colOff>
      <xdr:row>0</xdr:row>
      <xdr:rowOff>74084</xdr:rowOff>
    </xdr:from>
    <xdr:to>
      <xdr:col>16</xdr:col>
      <xdr:colOff>550333</xdr:colOff>
      <xdr:row>16</xdr:row>
      <xdr:rowOff>158750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349250</xdr:colOff>
      <xdr:row>0</xdr:row>
      <xdr:rowOff>74084</xdr:rowOff>
    </xdr:from>
    <xdr:to>
      <xdr:col>17</xdr:col>
      <xdr:colOff>211666</xdr:colOff>
      <xdr:row>16</xdr:row>
      <xdr:rowOff>169333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0.4224</cdr:x>
      <cdr:y>0.18581</cdr:y>
    </cdr:from>
    <cdr:to>
      <cdr:x>0.61493</cdr:x>
      <cdr:y>0.375</cdr:y>
    </cdr:to>
    <cdr:sp macro="" textlink="">
      <cdr:nvSpPr>
        <cdr:cNvPr id="2" name="TextBox 1"/>
        <cdr:cNvSpPr txBox="1"/>
      </cdr:nvSpPr>
      <cdr:spPr>
        <a:xfrm xmlns:a="http://schemas.openxmlformats.org/drawingml/2006/main">
          <a:off x="2275417" y="582083"/>
          <a:ext cx="1037167" cy="592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3rd batch of</a:t>
          </a:r>
          <a:r>
            <a:rPr lang="en-US" sz="1100" baseline="0">
              <a:effectLst/>
              <a:latin typeface="+mn-lt"/>
              <a:ea typeface="+mn-ea"/>
              <a:cs typeface="+mn-cs"/>
            </a:rPr>
            <a:t> carwash water</a:t>
          </a:r>
          <a:endParaRPr lang="en-US">
            <a:effectLst/>
          </a:endParaRPr>
        </a:p>
        <a:p xmlns:a="http://schemas.openxmlformats.org/drawingml/2006/main">
          <a:endParaRPr lang="en-US" sz="1100"/>
        </a:p>
      </cdr:txBody>
    </cdr:sp>
  </cdr:relSizeAnchor>
</c:userShapes>
</file>

<file path=xl/drawings/drawing41.xml><?xml version="1.0" encoding="utf-8"?>
<xdr:wsDr xmlns:xdr="http://schemas.openxmlformats.org/drawingml/2006/spreadsheetDrawing" xmlns:a="http://schemas.openxmlformats.org/drawingml/2006/main">
  <xdr:twoCellAnchor>
    <xdr:from>
      <xdr:col>8</xdr:col>
      <xdr:colOff>318559</xdr:colOff>
      <xdr:row>0</xdr:row>
      <xdr:rowOff>31750</xdr:rowOff>
    </xdr:from>
    <xdr:to>
      <xdr:col>16</xdr:col>
      <xdr:colOff>63499</xdr:colOff>
      <xdr:row>16</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0.49083</cdr:x>
      <cdr:y>0.25926</cdr:y>
    </cdr:from>
    <cdr:to>
      <cdr:x>0.74202</cdr:x>
      <cdr:y>0.48485</cdr:y>
    </cdr:to>
    <cdr:sp macro="" textlink="">
      <cdr:nvSpPr>
        <cdr:cNvPr id="2" name="TextBox 1"/>
        <cdr:cNvSpPr txBox="1"/>
      </cdr:nvSpPr>
      <cdr:spPr>
        <a:xfrm xmlns:a="http://schemas.openxmlformats.org/drawingml/2006/main">
          <a:off x="2295524" y="814917"/>
          <a:ext cx="1174750" cy="709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3rd batch of</a:t>
          </a:r>
          <a:r>
            <a:rPr lang="en-US" sz="1100" baseline="0">
              <a:effectLst/>
              <a:latin typeface="+mn-lt"/>
              <a:ea typeface="+mn-ea"/>
              <a:cs typeface="+mn-cs"/>
            </a:rPr>
            <a:t> carwash water</a:t>
          </a:r>
          <a:endParaRPr lang="en-US">
            <a:effectLst/>
          </a:endParaRPr>
        </a:p>
        <a:p xmlns:a="http://schemas.openxmlformats.org/drawingml/2006/main">
          <a:endParaRPr lang="en-US" sz="1100"/>
        </a:p>
      </cdr:txBody>
    </cdr:sp>
  </cdr:relSizeAnchor>
</c:userShapes>
</file>

<file path=xl/drawings/drawing43.xml><?xml version="1.0" encoding="utf-8"?>
<xdr:wsDr xmlns:xdr="http://schemas.openxmlformats.org/drawingml/2006/spreadsheetDrawing" xmlns:a="http://schemas.openxmlformats.org/drawingml/2006/main">
  <xdr:twoCellAnchor>
    <xdr:from>
      <xdr:col>9</xdr:col>
      <xdr:colOff>1057</xdr:colOff>
      <xdr:row>0</xdr:row>
      <xdr:rowOff>0</xdr:rowOff>
    </xdr:from>
    <xdr:to>
      <xdr:col>16</xdr:col>
      <xdr:colOff>52915</xdr:colOff>
      <xdr:row>15</xdr:row>
      <xdr:rowOff>105833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0.42597</cdr:x>
      <cdr:y>0.2</cdr:y>
    </cdr:from>
    <cdr:to>
      <cdr:x>0.66987</cdr:x>
      <cdr:y>0.36071</cdr:y>
    </cdr:to>
    <cdr:sp macro="" textlink="">
      <cdr:nvSpPr>
        <cdr:cNvPr id="2" name="TextBox 1"/>
        <cdr:cNvSpPr txBox="1"/>
      </cdr:nvSpPr>
      <cdr:spPr>
        <a:xfrm xmlns:a="http://schemas.openxmlformats.org/drawingml/2006/main">
          <a:off x="1829860" y="592667"/>
          <a:ext cx="1047750"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4th batch of carwash water</a:t>
          </a:r>
          <a:endParaRPr lang="en-US">
            <a:effectLst/>
          </a:endParaRPr>
        </a:p>
        <a:p xmlns:a="http://schemas.openxmlformats.org/drawingml/2006/main">
          <a:endParaRPr lang="en-US" sz="1100"/>
        </a:p>
      </cdr:txBody>
    </cdr:sp>
  </cdr:relSizeAnchor>
</c:userShapes>
</file>

<file path=xl/drawings/drawing45.xml><?xml version="1.0" encoding="utf-8"?>
<xdr:wsDr xmlns:xdr="http://schemas.openxmlformats.org/drawingml/2006/spreadsheetDrawing" xmlns:a="http://schemas.openxmlformats.org/drawingml/2006/main">
  <xdr:twoCellAnchor>
    <xdr:from>
      <xdr:col>8</xdr:col>
      <xdr:colOff>146050</xdr:colOff>
      <xdr:row>0</xdr:row>
      <xdr:rowOff>28575</xdr:rowOff>
    </xdr:from>
    <xdr:to>
      <xdr:col>15</xdr:col>
      <xdr:colOff>447675</xdr:colOff>
      <xdr:row>16</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0.46754</cdr:x>
      <cdr:y>0.25602</cdr:y>
    </cdr:from>
    <cdr:to>
      <cdr:x>0.69751</cdr:x>
      <cdr:y>0.41265</cdr:y>
    </cdr:to>
    <cdr:sp macro="" textlink="">
      <cdr:nvSpPr>
        <cdr:cNvPr id="2" name="TextBox 1"/>
        <cdr:cNvSpPr txBox="1"/>
      </cdr:nvSpPr>
      <cdr:spPr>
        <a:xfrm xmlns:a="http://schemas.openxmlformats.org/drawingml/2006/main">
          <a:off x="2149474" y="809625"/>
          <a:ext cx="1057275"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4th batch of carwash water</a:t>
          </a:r>
        </a:p>
      </cdr:txBody>
    </cdr:sp>
  </cdr:relSizeAnchor>
</c:userShapes>
</file>

<file path=xl/drawings/drawing47.xml><?xml version="1.0" encoding="utf-8"?>
<xdr:wsDr xmlns:xdr="http://schemas.openxmlformats.org/drawingml/2006/spreadsheetDrawing" xmlns:a="http://schemas.openxmlformats.org/drawingml/2006/main">
  <xdr:twoCellAnchor>
    <xdr:from>
      <xdr:col>7</xdr:col>
      <xdr:colOff>159809</xdr:colOff>
      <xdr:row>0</xdr:row>
      <xdr:rowOff>0</xdr:rowOff>
    </xdr:from>
    <xdr:to>
      <xdr:col>14</xdr:col>
      <xdr:colOff>379943</xdr:colOff>
      <xdr:row>15</xdr:row>
      <xdr:rowOff>27518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0.39622</cdr:x>
      <cdr:y>0.24578</cdr:y>
    </cdr:from>
    <cdr:to>
      <cdr:x>0.68307</cdr:x>
      <cdr:y>0.4292</cdr:y>
    </cdr:to>
    <cdr:sp macro="" textlink="">
      <cdr:nvSpPr>
        <cdr:cNvPr id="2" name="TextBox 1"/>
        <cdr:cNvSpPr txBox="1"/>
      </cdr:nvSpPr>
      <cdr:spPr>
        <a:xfrm xmlns:a="http://schemas.openxmlformats.org/drawingml/2006/main">
          <a:off x="1798108" y="709083"/>
          <a:ext cx="1301750" cy="529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4th batch of carwash water</a:t>
          </a:r>
          <a:endParaRPr lang="en-US">
            <a:effectLst/>
          </a:endParaRPr>
        </a:p>
        <a:p xmlns:a="http://schemas.openxmlformats.org/drawingml/2006/main">
          <a:endParaRPr lang="en-US" sz="1100"/>
        </a:p>
      </cdr:txBody>
    </cdr:sp>
  </cdr:relSizeAnchor>
</c:userShapes>
</file>

<file path=xl/drawings/drawing49.xml><?xml version="1.0" encoding="utf-8"?>
<xdr:wsDr xmlns:xdr="http://schemas.openxmlformats.org/drawingml/2006/spreadsheetDrawing" xmlns:a="http://schemas.openxmlformats.org/drawingml/2006/main">
  <xdr:twoCellAnchor>
    <xdr:from>
      <xdr:col>9</xdr:col>
      <xdr:colOff>35983</xdr:colOff>
      <xdr:row>0</xdr:row>
      <xdr:rowOff>179917</xdr:rowOff>
    </xdr:from>
    <xdr:to>
      <xdr:col>16</xdr:col>
      <xdr:colOff>281516</xdr:colOff>
      <xdr:row>16</xdr:row>
      <xdr:rowOff>16934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74084</xdr:colOff>
      <xdr:row>0</xdr:row>
      <xdr:rowOff>0</xdr:rowOff>
    </xdr:from>
    <xdr:to>
      <xdr:col>16</xdr:col>
      <xdr:colOff>402167</xdr:colOff>
      <xdr:row>16</xdr:row>
      <xdr:rowOff>148167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0.43476</cdr:x>
      <cdr:y>0.21277</cdr:y>
    </cdr:from>
    <cdr:to>
      <cdr:x>0.66309</cdr:x>
      <cdr:y>0.40352</cdr:y>
    </cdr:to>
    <cdr:sp macro="" textlink="">
      <cdr:nvSpPr>
        <cdr:cNvPr id="2" name="TextBox 1"/>
        <cdr:cNvSpPr txBox="1"/>
      </cdr:nvSpPr>
      <cdr:spPr>
        <a:xfrm xmlns:a="http://schemas.openxmlformats.org/drawingml/2006/main">
          <a:off x="1974851" y="613833"/>
          <a:ext cx="1037166" cy="550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1st batch of carwash</a:t>
          </a:r>
          <a:r>
            <a:rPr lang="en-US" sz="1100" baseline="0"/>
            <a:t> water</a:t>
          </a:r>
          <a:endParaRPr lang="en-US" sz="1100"/>
        </a:p>
      </cdr:txBody>
    </cdr:sp>
  </cdr:relSizeAnchor>
</c:userShapes>
</file>

<file path=xl/drawings/drawing51.xml><?xml version="1.0" encoding="utf-8"?>
<xdr:wsDr xmlns:xdr="http://schemas.openxmlformats.org/drawingml/2006/spreadsheetDrawing" xmlns:a="http://schemas.openxmlformats.org/drawingml/2006/main">
  <xdr:twoCellAnchor>
    <xdr:from>
      <xdr:col>7</xdr:col>
      <xdr:colOff>88900</xdr:colOff>
      <xdr:row>0</xdr:row>
      <xdr:rowOff>0</xdr:rowOff>
    </xdr:from>
    <xdr:to>
      <xdr:col>14</xdr:col>
      <xdr:colOff>334433</xdr:colOff>
      <xdr:row>15</xdr:row>
      <xdr:rowOff>29633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0.43243</cdr:x>
      <cdr:y>0.16862</cdr:y>
    </cdr:from>
    <cdr:to>
      <cdr:x>0.66542</cdr:x>
      <cdr:y>0.32258</cdr:y>
    </cdr:to>
    <cdr:sp macro="" textlink="">
      <cdr:nvSpPr>
        <cdr:cNvPr id="2" name="TextBox 1"/>
        <cdr:cNvSpPr txBox="1"/>
      </cdr:nvSpPr>
      <cdr:spPr>
        <a:xfrm xmlns:a="http://schemas.openxmlformats.org/drawingml/2006/main">
          <a:off x="1964267" y="486834"/>
          <a:ext cx="1058333" cy="444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1st batch of carwash</a:t>
          </a:r>
          <a:r>
            <a:rPr lang="en-US" sz="1100" baseline="0">
              <a:effectLst/>
              <a:latin typeface="+mn-lt"/>
              <a:ea typeface="+mn-ea"/>
              <a:cs typeface="+mn-cs"/>
            </a:rPr>
            <a:t> water</a:t>
          </a:r>
          <a:endParaRPr lang="en-US">
            <a:effectLst/>
          </a:endParaRPr>
        </a:p>
        <a:p xmlns:a="http://schemas.openxmlformats.org/drawingml/2006/main">
          <a:endParaRPr lang="en-US" sz="1100"/>
        </a:p>
      </cdr:txBody>
    </cdr:sp>
  </cdr:relSizeAnchor>
</c:userShapes>
</file>

<file path=xl/drawings/drawing53.xml><?xml version="1.0" encoding="utf-8"?>
<xdr:wsDr xmlns:xdr="http://schemas.openxmlformats.org/drawingml/2006/spreadsheetDrawing" xmlns:a="http://schemas.openxmlformats.org/drawingml/2006/main">
  <xdr:twoCellAnchor>
    <xdr:from>
      <xdr:col>7</xdr:col>
      <xdr:colOff>88900</xdr:colOff>
      <xdr:row>0</xdr:row>
      <xdr:rowOff>0</xdr:rowOff>
    </xdr:from>
    <xdr:to>
      <xdr:col>14</xdr:col>
      <xdr:colOff>334434</xdr:colOff>
      <xdr:row>15</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0.44641</cdr:x>
      <cdr:y>0.18335</cdr:y>
    </cdr:from>
    <cdr:to>
      <cdr:x>0.69571</cdr:x>
      <cdr:y>0.34103</cdr:y>
    </cdr:to>
    <cdr:sp macro="" textlink="">
      <cdr:nvSpPr>
        <cdr:cNvPr id="2" name="TextBox 1"/>
        <cdr:cNvSpPr txBox="1"/>
      </cdr:nvSpPr>
      <cdr:spPr>
        <a:xfrm xmlns:a="http://schemas.openxmlformats.org/drawingml/2006/main">
          <a:off x="2027767" y="529168"/>
          <a:ext cx="1132417" cy="4550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1st batch of carwash</a:t>
          </a:r>
          <a:r>
            <a:rPr lang="en-US" sz="1100" baseline="0">
              <a:effectLst/>
              <a:latin typeface="+mn-lt"/>
              <a:ea typeface="+mn-ea"/>
              <a:cs typeface="+mn-cs"/>
            </a:rPr>
            <a:t> water</a:t>
          </a:r>
          <a:endParaRPr lang="en-US">
            <a:effectLst/>
          </a:endParaRPr>
        </a:p>
        <a:p xmlns:a="http://schemas.openxmlformats.org/drawingml/2006/main">
          <a:endParaRPr lang="en-US" sz="1100"/>
        </a:p>
      </cdr:txBody>
    </cdr:sp>
  </cdr:relSizeAnchor>
  <cdr:relSizeAnchor xmlns:cdr="http://schemas.openxmlformats.org/drawingml/2006/chartDrawing">
    <cdr:from>
      <cdr:x>0.45573</cdr:x>
      <cdr:y>0.27869</cdr:y>
    </cdr:from>
    <cdr:to>
      <cdr:x>0.65704</cdr:x>
      <cdr:y>0.59553</cdr:y>
    </cdr:to>
    <cdr:sp macro="" textlink="">
      <cdr:nvSpPr>
        <cdr:cNvPr id="3" name="TextBox 2"/>
        <cdr:cNvSpPr txBox="1"/>
      </cdr:nvSpPr>
      <cdr:spPr>
        <a:xfrm xmlns:a="http://schemas.openxmlformats.org/drawingml/2006/main">
          <a:off x="2070100" y="80433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5.xml><?xml version="1.0" encoding="utf-8"?>
<xdr:wsDr xmlns:xdr="http://schemas.openxmlformats.org/drawingml/2006/spreadsheetDrawing" xmlns:a="http://schemas.openxmlformats.org/drawingml/2006/main">
  <xdr:twoCellAnchor>
    <xdr:from>
      <xdr:col>7</xdr:col>
      <xdr:colOff>170392</xdr:colOff>
      <xdr:row>0</xdr:row>
      <xdr:rowOff>0</xdr:rowOff>
    </xdr:from>
    <xdr:to>
      <xdr:col>14</xdr:col>
      <xdr:colOff>416983</xdr:colOff>
      <xdr:row>16</xdr:row>
      <xdr:rowOff>14817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0.42407</cdr:x>
      <cdr:y>0.16241</cdr:y>
    </cdr:from>
    <cdr:to>
      <cdr:x>0.67679</cdr:x>
      <cdr:y>0.33172</cdr:y>
    </cdr:to>
    <cdr:sp macro="" textlink="">
      <cdr:nvSpPr>
        <cdr:cNvPr id="2" name="TextBox 1"/>
        <cdr:cNvSpPr txBox="1"/>
      </cdr:nvSpPr>
      <cdr:spPr>
        <a:xfrm xmlns:a="http://schemas.openxmlformats.org/drawingml/2006/main">
          <a:off x="1935691" y="497417"/>
          <a:ext cx="1153583" cy="5185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2nd batch</a:t>
          </a:r>
          <a:r>
            <a:rPr lang="en-US" sz="1000" baseline="0"/>
            <a:t> of carwash water</a:t>
          </a:r>
          <a:endParaRPr lang="en-US" sz="1000"/>
        </a:p>
      </cdr:txBody>
    </cdr:sp>
  </cdr:relSizeAnchor>
</c:userShapes>
</file>

<file path=xl/drawings/drawing57.xml><?xml version="1.0" encoding="utf-8"?>
<xdr:wsDr xmlns:xdr="http://schemas.openxmlformats.org/drawingml/2006/spreadsheetDrawing" xmlns:a="http://schemas.openxmlformats.org/drawingml/2006/main">
  <xdr:twoCellAnchor>
    <xdr:from>
      <xdr:col>8</xdr:col>
      <xdr:colOff>285751</xdr:colOff>
      <xdr:row>0</xdr:row>
      <xdr:rowOff>0</xdr:rowOff>
    </xdr:from>
    <xdr:to>
      <xdr:col>15</xdr:col>
      <xdr:colOff>289983</xdr:colOff>
      <xdr:row>14</xdr:row>
      <xdr:rowOff>67734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0.42286</cdr:x>
      <cdr:y>0.23607</cdr:y>
    </cdr:from>
    <cdr:to>
      <cdr:x>0.66682</cdr:x>
      <cdr:y>0.42957</cdr:y>
    </cdr:to>
    <cdr:sp macro="" textlink="">
      <cdr:nvSpPr>
        <cdr:cNvPr id="2" name="TextBox 1"/>
        <cdr:cNvSpPr txBox="1"/>
      </cdr:nvSpPr>
      <cdr:spPr>
        <a:xfrm xmlns:a="http://schemas.openxmlformats.org/drawingml/2006/main">
          <a:off x="1926166" y="645582"/>
          <a:ext cx="1111250" cy="529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2nd batch of carwash water</a:t>
          </a:r>
        </a:p>
      </cdr:txBody>
    </cdr:sp>
  </cdr:relSizeAnchor>
</c:userShapes>
</file>

<file path=xl/drawings/drawing59.xml><?xml version="1.0" encoding="utf-8"?>
<xdr:wsDr xmlns:xdr="http://schemas.openxmlformats.org/drawingml/2006/spreadsheetDrawing" xmlns:a="http://schemas.openxmlformats.org/drawingml/2006/main">
  <xdr:twoCellAnchor>
    <xdr:from>
      <xdr:col>7</xdr:col>
      <xdr:colOff>170392</xdr:colOff>
      <xdr:row>0</xdr:row>
      <xdr:rowOff>0</xdr:rowOff>
    </xdr:from>
    <xdr:to>
      <xdr:col>15</xdr:col>
      <xdr:colOff>95250</xdr:colOff>
      <xdr:row>16</xdr:row>
      <xdr:rowOff>31750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158751</xdr:colOff>
      <xdr:row>0</xdr:row>
      <xdr:rowOff>21166</xdr:rowOff>
    </xdr:from>
    <xdr:to>
      <xdr:col>17</xdr:col>
      <xdr:colOff>0</xdr:colOff>
      <xdr:row>15</xdr:row>
      <xdr:rowOff>158749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0.52931</cdr:x>
      <cdr:y>0.17526</cdr:y>
    </cdr:from>
    <cdr:to>
      <cdr:x>0.74068</cdr:x>
      <cdr:y>0.34021</cdr:y>
    </cdr:to>
    <cdr:sp macro="" textlink="">
      <cdr:nvSpPr>
        <cdr:cNvPr id="2" name="TextBox 1"/>
        <cdr:cNvSpPr txBox="1"/>
      </cdr:nvSpPr>
      <cdr:spPr>
        <a:xfrm xmlns:a="http://schemas.openxmlformats.org/drawingml/2006/main">
          <a:off x="2570692" y="539751"/>
          <a:ext cx="1026583" cy="50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00">
              <a:effectLst/>
              <a:latin typeface="+mn-lt"/>
              <a:ea typeface="+mn-ea"/>
              <a:cs typeface="+mn-cs"/>
            </a:rPr>
            <a:t>2nd batch of carwash water</a:t>
          </a:r>
          <a:endParaRPr lang="en-US" sz="1000">
            <a:effectLst/>
          </a:endParaRPr>
        </a:p>
        <a:p xmlns:a="http://schemas.openxmlformats.org/drawingml/2006/main">
          <a:endParaRPr lang="en-US" sz="1100"/>
        </a:p>
      </cdr:txBody>
    </cdr:sp>
  </cdr:relSizeAnchor>
</c:userShapes>
</file>

<file path=xl/drawings/drawing61.xml><?xml version="1.0" encoding="utf-8"?>
<xdr:wsDr xmlns:xdr="http://schemas.openxmlformats.org/drawingml/2006/spreadsheetDrawing" xmlns:a="http://schemas.openxmlformats.org/drawingml/2006/main">
  <xdr:twoCellAnchor>
    <xdr:from>
      <xdr:col>7</xdr:col>
      <xdr:colOff>498477</xdr:colOff>
      <xdr:row>0</xdr:row>
      <xdr:rowOff>31750</xdr:rowOff>
    </xdr:from>
    <xdr:to>
      <xdr:col>15</xdr:col>
      <xdr:colOff>131234</xdr:colOff>
      <xdr:row>16</xdr:row>
      <xdr:rowOff>49741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0.44261</cdr:x>
      <cdr:y>0.20021</cdr:y>
    </cdr:from>
    <cdr:to>
      <cdr:x>0.67911</cdr:x>
      <cdr:y>0.3728</cdr:y>
    </cdr:to>
    <cdr:sp macro="" textlink="">
      <cdr:nvSpPr>
        <cdr:cNvPr id="2" name="TextBox 1"/>
        <cdr:cNvSpPr txBox="1"/>
      </cdr:nvSpPr>
      <cdr:spPr>
        <a:xfrm xmlns:a="http://schemas.openxmlformats.org/drawingml/2006/main">
          <a:off x="2020356" y="613833"/>
          <a:ext cx="1079500" cy="529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00">
              <a:effectLst/>
              <a:latin typeface="+mn-lt"/>
              <a:ea typeface="+mn-ea"/>
              <a:cs typeface="+mn-cs"/>
            </a:rPr>
            <a:t>2nd batch of carwash water</a:t>
          </a:r>
          <a:endParaRPr lang="en-US" sz="1000">
            <a:effectLst/>
          </a:endParaRPr>
        </a:p>
        <a:p xmlns:a="http://schemas.openxmlformats.org/drawingml/2006/main">
          <a:endParaRPr lang="en-US" sz="1100"/>
        </a:p>
      </cdr:txBody>
    </cdr:sp>
  </cdr:relSizeAnchor>
</c:userShapes>
</file>

<file path=xl/drawings/drawing63.xml><?xml version="1.0" encoding="utf-8"?>
<xdr:wsDr xmlns:xdr="http://schemas.openxmlformats.org/drawingml/2006/spreadsheetDrawing" xmlns:a="http://schemas.openxmlformats.org/drawingml/2006/main">
  <xdr:twoCellAnchor>
    <xdr:from>
      <xdr:col>7</xdr:col>
      <xdr:colOff>459316</xdr:colOff>
      <xdr:row>0</xdr:row>
      <xdr:rowOff>52916</xdr:rowOff>
    </xdr:from>
    <xdr:to>
      <xdr:col>15</xdr:col>
      <xdr:colOff>508000</xdr:colOff>
      <xdr:row>16</xdr:row>
      <xdr:rowOff>116417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0.43768</cdr:x>
      <cdr:y>0.19388</cdr:y>
    </cdr:from>
    <cdr:to>
      <cdr:x>0.6559</cdr:x>
      <cdr:y>0.38095</cdr:y>
    </cdr:to>
    <cdr:sp macro="" textlink="">
      <cdr:nvSpPr>
        <cdr:cNvPr id="2" name="TextBox 1"/>
        <cdr:cNvSpPr txBox="1"/>
      </cdr:nvSpPr>
      <cdr:spPr>
        <a:xfrm xmlns:a="http://schemas.openxmlformats.org/drawingml/2006/main">
          <a:off x="2207684" y="603251"/>
          <a:ext cx="1100667" cy="5820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3rd batch of carwash water</a:t>
          </a:r>
        </a:p>
      </cdr:txBody>
    </cdr:sp>
  </cdr:relSizeAnchor>
</c:userShapes>
</file>

<file path=xl/drawings/drawing65.xml><?xml version="1.0" encoding="utf-8"?>
<xdr:wsDr xmlns:xdr="http://schemas.openxmlformats.org/drawingml/2006/spreadsheetDrawing" xmlns:a="http://schemas.openxmlformats.org/drawingml/2006/main">
  <xdr:twoCellAnchor>
    <xdr:from>
      <xdr:col>8</xdr:col>
      <xdr:colOff>608543</xdr:colOff>
      <xdr:row>0</xdr:row>
      <xdr:rowOff>105833</xdr:rowOff>
    </xdr:from>
    <xdr:to>
      <xdr:col>16</xdr:col>
      <xdr:colOff>184150</xdr:colOff>
      <xdr:row>14</xdr:row>
      <xdr:rowOff>175683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0.46298</cdr:x>
      <cdr:y>0.17788</cdr:y>
    </cdr:from>
    <cdr:to>
      <cdr:x>0.71362</cdr:x>
      <cdr:y>0.40603</cdr:y>
    </cdr:to>
    <cdr:sp macro="" textlink="">
      <cdr:nvSpPr>
        <cdr:cNvPr id="2" name="TextBox 1"/>
        <cdr:cNvSpPr txBox="1"/>
      </cdr:nvSpPr>
      <cdr:spPr>
        <a:xfrm xmlns:a="http://schemas.openxmlformats.org/drawingml/2006/main">
          <a:off x="2111374" y="486833"/>
          <a:ext cx="1143000" cy="6244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00">
              <a:effectLst/>
              <a:latin typeface="+mn-lt"/>
              <a:ea typeface="+mn-ea"/>
              <a:cs typeface="+mn-cs"/>
            </a:rPr>
            <a:t>3rd batch of carwash water</a:t>
          </a:r>
          <a:endParaRPr lang="en-US" sz="1000">
            <a:effectLst/>
          </a:endParaRPr>
        </a:p>
        <a:p xmlns:a="http://schemas.openxmlformats.org/drawingml/2006/main">
          <a:endParaRPr lang="en-US" sz="1100"/>
        </a:p>
      </cdr:txBody>
    </cdr:sp>
  </cdr:relSizeAnchor>
</c:userShapes>
</file>

<file path=xl/drawings/drawing67.xml><?xml version="1.0" encoding="utf-8"?>
<xdr:wsDr xmlns:xdr="http://schemas.openxmlformats.org/drawingml/2006/spreadsheetDrawing" xmlns:a="http://schemas.openxmlformats.org/drawingml/2006/main">
  <xdr:twoCellAnchor>
    <xdr:from>
      <xdr:col>9</xdr:col>
      <xdr:colOff>76200</xdr:colOff>
      <xdr:row>0</xdr:row>
      <xdr:rowOff>19050</xdr:rowOff>
    </xdr:from>
    <xdr:to>
      <xdr:col>16</xdr:col>
      <xdr:colOff>438150</xdr:colOff>
      <xdr:row>15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0.41975</cdr:x>
      <cdr:y>0.15772</cdr:y>
    </cdr:from>
    <cdr:to>
      <cdr:x>0.62757</cdr:x>
      <cdr:y>0.30872</cdr:y>
    </cdr:to>
    <cdr:sp macro="" textlink="">
      <cdr:nvSpPr>
        <cdr:cNvPr id="2" name="TextBox 1"/>
        <cdr:cNvSpPr txBox="1"/>
      </cdr:nvSpPr>
      <cdr:spPr>
        <a:xfrm xmlns:a="http://schemas.openxmlformats.org/drawingml/2006/main">
          <a:off x="1943100" y="447675"/>
          <a:ext cx="962025"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00">
              <a:effectLst/>
              <a:latin typeface="+mn-lt"/>
              <a:ea typeface="+mn-ea"/>
              <a:cs typeface="+mn-cs"/>
            </a:rPr>
            <a:t>3rd batch of carwash water</a:t>
          </a:r>
          <a:endParaRPr lang="en-US" sz="1000">
            <a:effectLst/>
          </a:endParaRPr>
        </a:p>
        <a:p xmlns:a="http://schemas.openxmlformats.org/drawingml/2006/main">
          <a:endParaRPr lang="en-US" sz="1100"/>
        </a:p>
      </cdr:txBody>
    </cdr:sp>
  </cdr:relSizeAnchor>
</c:userShapes>
</file>

<file path=xl/drawings/drawing69.xml><?xml version="1.0" encoding="utf-8"?>
<xdr:wsDr xmlns:xdr="http://schemas.openxmlformats.org/drawingml/2006/spreadsheetDrawing" xmlns:a="http://schemas.openxmlformats.org/drawingml/2006/main">
  <xdr:twoCellAnchor>
    <xdr:from>
      <xdr:col>8</xdr:col>
      <xdr:colOff>120651</xdr:colOff>
      <xdr:row>0</xdr:row>
      <xdr:rowOff>137583</xdr:rowOff>
    </xdr:from>
    <xdr:to>
      <xdr:col>15</xdr:col>
      <xdr:colOff>571500</xdr:colOff>
      <xdr:row>16</xdr:row>
      <xdr:rowOff>10582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243416</xdr:colOff>
      <xdr:row>0</xdr:row>
      <xdr:rowOff>0</xdr:rowOff>
    </xdr:from>
    <xdr:to>
      <xdr:col>17</xdr:col>
      <xdr:colOff>444500</xdr:colOff>
      <xdr:row>16</xdr:row>
      <xdr:rowOff>179916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8</xdr:col>
      <xdr:colOff>194733</xdr:colOff>
      <xdr:row>0</xdr:row>
      <xdr:rowOff>105833</xdr:rowOff>
    </xdr:from>
    <xdr:to>
      <xdr:col>16</xdr:col>
      <xdr:colOff>10584</xdr:colOff>
      <xdr:row>16</xdr:row>
      <xdr:rowOff>105833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8</xdr:col>
      <xdr:colOff>57150</xdr:colOff>
      <xdr:row>0</xdr:row>
      <xdr:rowOff>42333</xdr:rowOff>
    </xdr:from>
    <xdr:to>
      <xdr:col>16</xdr:col>
      <xdr:colOff>0</xdr:colOff>
      <xdr:row>16</xdr:row>
      <xdr:rowOff>148166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8</xdr:col>
      <xdr:colOff>289983</xdr:colOff>
      <xdr:row>0</xdr:row>
      <xdr:rowOff>52915</xdr:rowOff>
    </xdr:from>
    <xdr:to>
      <xdr:col>16</xdr:col>
      <xdr:colOff>158750</xdr:colOff>
      <xdr:row>16</xdr:row>
      <xdr:rowOff>116416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7</xdr:col>
      <xdr:colOff>486832</xdr:colOff>
      <xdr:row>0</xdr:row>
      <xdr:rowOff>42333</xdr:rowOff>
    </xdr:from>
    <xdr:to>
      <xdr:col>15</xdr:col>
      <xdr:colOff>285750</xdr:colOff>
      <xdr:row>16</xdr:row>
      <xdr:rowOff>42332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7</xdr:col>
      <xdr:colOff>550333</xdr:colOff>
      <xdr:row>0</xdr:row>
      <xdr:rowOff>10582</xdr:rowOff>
    </xdr:from>
    <xdr:to>
      <xdr:col>15</xdr:col>
      <xdr:colOff>402167</xdr:colOff>
      <xdr:row>16</xdr:row>
      <xdr:rowOff>126999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7</xdr:col>
      <xdr:colOff>50800</xdr:colOff>
      <xdr:row>0</xdr:row>
      <xdr:rowOff>0</xdr:rowOff>
    </xdr:from>
    <xdr:to>
      <xdr:col>14</xdr:col>
      <xdr:colOff>423333</xdr:colOff>
      <xdr:row>16</xdr:row>
      <xdr:rowOff>63499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7</xdr:col>
      <xdr:colOff>389466</xdr:colOff>
      <xdr:row>0</xdr:row>
      <xdr:rowOff>52916</xdr:rowOff>
    </xdr:from>
    <xdr:to>
      <xdr:col>15</xdr:col>
      <xdr:colOff>222250</xdr:colOff>
      <xdr:row>16</xdr:row>
      <xdr:rowOff>116415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9</xdr:col>
      <xdr:colOff>40216</xdr:colOff>
      <xdr:row>0</xdr:row>
      <xdr:rowOff>21167</xdr:rowOff>
    </xdr:from>
    <xdr:to>
      <xdr:col>16</xdr:col>
      <xdr:colOff>364065</xdr:colOff>
      <xdr:row>14</xdr:row>
      <xdr:rowOff>81492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7</xdr:col>
      <xdr:colOff>452966</xdr:colOff>
      <xdr:row>0</xdr:row>
      <xdr:rowOff>31748</xdr:rowOff>
    </xdr:from>
    <xdr:to>
      <xdr:col>15</xdr:col>
      <xdr:colOff>338667</xdr:colOff>
      <xdr:row>16</xdr:row>
      <xdr:rowOff>74082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10</xdr:col>
      <xdr:colOff>167217</xdr:colOff>
      <xdr:row>0</xdr:row>
      <xdr:rowOff>42333</xdr:rowOff>
    </xdr:from>
    <xdr:to>
      <xdr:col>18</xdr:col>
      <xdr:colOff>21167</xdr:colOff>
      <xdr:row>16</xdr:row>
      <xdr:rowOff>137584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222250</xdr:colOff>
      <xdr:row>0</xdr:row>
      <xdr:rowOff>95248</xdr:rowOff>
    </xdr:from>
    <xdr:to>
      <xdr:col>16</xdr:col>
      <xdr:colOff>52917</xdr:colOff>
      <xdr:row>16</xdr:row>
      <xdr:rowOff>10582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7</xdr:col>
      <xdr:colOff>410634</xdr:colOff>
      <xdr:row>0</xdr:row>
      <xdr:rowOff>31750</xdr:rowOff>
    </xdr:from>
    <xdr:to>
      <xdr:col>15</xdr:col>
      <xdr:colOff>254001</xdr:colOff>
      <xdr:row>16</xdr:row>
      <xdr:rowOff>137583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8</xdr:col>
      <xdr:colOff>71968</xdr:colOff>
      <xdr:row>0</xdr:row>
      <xdr:rowOff>21167</xdr:rowOff>
    </xdr:from>
    <xdr:to>
      <xdr:col>16</xdr:col>
      <xdr:colOff>370416</xdr:colOff>
      <xdr:row>16</xdr:row>
      <xdr:rowOff>137584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7</xdr:col>
      <xdr:colOff>50800</xdr:colOff>
      <xdr:row>0</xdr:row>
      <xdr:rowOff>0</xdr:rowOff>
    </xdr:from>
    <xdr:to>
      <xdr:col>15</xdr:col>
      <xdr:colOff>289983</xdr:colOff>
      <xdr:row>16</xdr:row>
      <xdr:rowOff>67733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8</xdr:col>
      <xdr:colOff>177800</xdr:colOff>
      <xdr:row>0</xdr:row>
      <xdr:rowOff>42333</xdr:rowOff>
    </xdr:from>
    <xdr:to>
      <xdr:col>16</xdr:col>
      <xdr:colOff>427565</xdr:colOff>
      <xdr:row>16</xdr:row>
      <xdr:rowOff>100540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xdr:from>
      <xdr:col>9</xdr:col>
      <xdr:colOff>21167</xdr:colOff>
      <xdr:row>0</xdr:row>
      <xdr:rowOff>1</xdr:rowOff>
    </xdr:from>
    <xdr:to>
      <xdr:col>17</xdr:col>
      <xdr:colOff>338667</xdr:colOff>
      <xdr:row>15</xdr:row>
      <xdr:rowOff>116418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7</xdr:col>
      <xdr:colOff>558800</xdr:colOff>
      <xdr:row>0</xdr:row>
      <xdr:rowOff>52917</xdr:rowOff>
    </xdr:from>
    <xdr:to>
      <xdr:col>16</xdr:col>
      <xdr:colOff>184149</xdr:colOff>
      <xdr:row>16</xdr:row>
      <xdr:rowOff>118533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xdr:from>
      <xdr:col>7</xdr:col>
      <xdr:colOff>103717</xdr:colOff>
      <xdr:row>0</xdr:row>
      <xdr:rowOff>0</xdr:rowOff>
    </xdr:from>
    <xdr:to>
      <xdr:col>16</xdr:col>
      <xdr:colOff>9525</xdr:colOff>
      <xdr:row>16</xdr:row>
      <xdr:rowOff>66674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xdr:from>
      <xdr:col>7</xdr:col>
      <xdr:colOff>560916</xdr:colOff>
      <xdr:row>0</xdr:row>
      <xdr:rowOff>0</xdr:rowOff>
    </xdr:from>
    <xdr:to>
      <xdr:col>16</xdr:col>
      <xdr:colOff>539749</xdr:colOff>
      <xdr:row>16</xdr:row>
      <xdr:rowOff>148167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xdr:from>
      <xdr:col>8</xdr:col>
      <xdr:colOff>590551</xdr:colOff>
      <xdr:row>0</xdr:row>
      <xdr:rowOff>21166</xdr:rowOff>
    </xdr:from>
    <xdr:to>
      <xdr:col>17</xdr:col>
      <xdr:colOff>505884</xdr:colOff>
      <xdr:row>16</xdr:row>
      <xdr:rowOff>99482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9.xml><?xml version="1.0" encoding="utf-8"?>
<xdr:wsDr xmlns:xdr="http://schemas.openxmlformats.org/drawingml/2006/spreadsheetDrawing" xmlns:a="http://schemas.openxmlformats.org/drawingml/2006/main">
  <xdr:twoCellAnchor>
    <xdr:from>
      <xdr:col>8</xdr:col>
      <xdr:colOff>590550</xdr:colOff>
      <xdr:row>0</xdr:row>
      <xdr:rowOff>31750</xdr:rowOff>
    </xdr:from>
    <xdr:to>
      <xdr:col>17</xdr:col>
      <xdr:colOff>501649</xdr:colOff>
      <xdr:row>16</xdr:row>
      <xdr:rowOff>110066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179916</xdr:colOff>
      <xdr:row>0</xdr:row>
      <xdr:rowOff>21166</xdr:rowOff>
    </xdr:from>
    <xdr:to>
      <xdr:col>16</xdr:col>
      <xdr:colOff>423334</xdr:colOff>
      <xdr:row>15</xdr:row>
      <xdr:rowOff>126999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xdr:from>
      <xdr:col>8</xdr:col>
      <xdr:colOff>283634</xdr:colOff>
      <xdr:row>0</xdr:row>
      <xdr:rowOff>31750</xdr:rowOff>
    </xdr:from>
    <xdr:to>
      <xdr:col>17</xdr:col>
      <xdr:colOff>194733</xdr:colOff>
      <xdr:row>16</xdr:row>
      <xdr:rowOff>110066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1.xml><?xml version="1.0" encoding="utf-8"?>
<xdr:wsDr xmlns:xdr="http://schemas.openxmlformats.org/drawingml/2006/spreadsheetDrawing" xmlns:a="http://schemas.openxmlformats.org/drawingml/2006/main">
  <xdr:twoCellAnchor>
    <xdr:from>
      <xdr:col>9</xdr:col>
      <xdr:colOff>29632</xdr:colOff>
      <xdr:row>0</xdr:row>
      <xdr:rowOff>84666</xdr:rowOff>
    </xdr:from>
    <xdr:to>
      <xdr:col>17</xdr:col>
      <xdr:colOff>560916</xdr:colOff>
      <xdr:row>16</xdr:row>
      <xdr:rowOff>137583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xdr:wsDr xmlns:xdr="http://schemas.openxmlformats.org/drawingml/2006/spreadsheetDrawing" xmlns:a="http://schemas.openxmlformats.org/drawingml/2006/main">
  <xdr:twoCellAnchor>
    <xdr:from>
      <xdr:col>9</xdr:col>
      <xdr:colOff>188383</xdr:colOff>
      <xdr:row>0</xdr:row>
      <xdr:rowOff>42334</xdr:rowOff>
    </xdr:from>
    <xdr:to>
      <xdr:col>18</xdr:col>
      <xdr:colOff>99483</xdr:colOff>
      <xdr:row>16</xdr:row>
      <xdr:rowOff>120650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3.xml><?xml version="1.0" encoding="utf-8"?>
<xdr:wsDr xmlns:xdr="http://schemas.openxmlformats.org/drawingml/2006/spreadsheetDrawing" xmlns:a="http://schemas.openxmlformats.org/drawingml/2006/main">
  <xdr:twoCellAnchor>
    <xdr:from>
      <xdr:col>9</xdr:col>
      <xdr:colOff>103718</xdr:colOff>
      <xdr:row>0</xdr:row>
      <xdr:rowOff>21166</xdr:rowOff>
    </xdr:from>
    <xdr:to>
      <xdr:col>18</xdr:col>
      <xdr:colOff>5293</xdr:colOff>
      <xdr:row>16</xdr:row>
      <xdr:rowOff>99482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xdr:wsDr xmlns:xdr="http://schemas.openxmlformats.org/drawingml/2006/spreadsheetDrawing" xmlns:a="http://schemas.openxmlformats.org/drawingml/2006/main">
  <xdr:twoCellAnchor>
    <xdr:from>
      <xdr:col>10</xdr:col>
      <xdr:colOff>0</xdr:colOff>
      <xdr:row>0</xdr:row>
      <xdr:rowOff>0</xdr:rowOff>
    </xdr:from>
    <xdr:to>
      <xdr:col>18</xdr:col>
      <xdr:colOff>433917</xdr:colOff>
      <xdr:row>16</xdr:row>
      <xdr:rowOff>52917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5.xml><?xml version="1.0" encoding="utf-8"?>
<xdr:wsDr xmlns:xdr="http://schemas.openxmlformats.org/drawingml/2006/spreadsheetDrawing" xmlns:a="http://schemas.openxmlformats.org/drawingml/2006/main">
  <xdr:twoCellAnchor>
    <xdr:from>
      <xdr:col>10</xdr:col>
      <xdr:colOff>0</xdr:colOff>
      <xdr:row>0</xdr:row>
      <xdr:rowOff>0</xdr:rowOff>
    </xdr:from>
    <xdr:to>
      <xdr:col>19</xdr:col>
      <xdr:colOff>95250</xdr:colOff>
      <xdr:row>16</xdr:row>
      <xdr:rowOff>52917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xdr:wsDr xmlns:xdr="http://schemas.openxmlformats.org/drawingml/2006/spreadsheetDrawing" xmlns:a="http://schemas.openxmlformats.org/drawingml/2006/main">
  <xdr:twoCellAnchor>
    <xdr:from>
      <xdr:col>11</xdr:col>
      <xdr:colOff>0</xdr:colOff>
      <xdr:row>0</xdr:row>
      <xdr:rowOff>0</xdr:rowOff>
    </xdr:from>
    <xdr:to>
      <xdr:col>20</xdr:col>
      <xdr:colOff>21167</xdr:colOff>
      <xdr:row>16</xdr:row>
      <xdr:rowOff>52917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7.xml><?xml version="1.0" encoding="utf-8"?>
<xdr:wsDr xmlns:xdr="http://schemas.openxmlformats.org/drawingml/2006/spreadsheetDrawing" xmlns:a="http://schemas.openxmlformats.org/drawingml/2006/main">
  <xdr:twoCellAnchor>
    <xdr:from>
      <xdr:col>10</xdr:col>
      <xdr:colOff>603250</xdr:colOff>
      <xdr:row>0</xdr:row>
      <xdr:rowOff>63500</xdr:rowOff>
    </xdr:from>
    <xdr:to>
      <xdr:col>20</xdr:col>
      <xdr:colOff>148167</xdr:colOff>
      <xdr:row>16</xdr:row>
      <xdr:rowOff>116417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xdr:wsDr xmlns:xdr="http://schemas.openxmlformats.org/drawingml/2006/spreadsheetDrawing" xmlns:a="http://schemas.openxmlformats.org/drawingml/2006/main">
  <xdr:twoCellAnchor>
    <xdr:from>
      <xdr:col>12</xdr:col>
      <xdr:colOff>0</xdr:colOff>
      <xdr:row>0</xdr:row>
      <xdr:rowOff>52916</xdr:rowOff>
    </xdr:from>
    <xdr:to>
      <xdr:col>20</xdr:col>
      <xdr:colOff>518584</xdr:colOff>
      <xdr:row>16</xdr:row>
      <xdr:rowOff>105833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9.xml><?xml version="1.0" encoding="utf-8"?>
<xdr:wsDr xmlns:xdr="http://schemas.openxmlformats.org/drawingml/2006/spreadsheetDrawing" xmlns:a="http://schemas.openxmlformats.org/drawingml/2006/main">
  <xdr:twoCellAnchor>
    <xdr:from>
      <xdr:col>11</xdr:col>
      <xdr:colOff>0</xdr:colOff>
      <xdr:row>0</xdr:row>
      <xdr:rowOff>0</xdr:rowOff>
    </xdr:from>
    <xdr:to>
      <xdr:col>20</xdr:col>
      <xdr:colOff>31750</xdr:colOff>
      <xdr:row>16</xdr:row>
      <xdr:rowOff>52917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8.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0.bin"/><Relationship Id="rId4" Type="http://schemas.openxmlformats.org/officeDocument/2006/relationships/comments" Target="../comments13.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14.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22.bin"/><Relationship Id="rId4" Type="http://schemas.openxmlformats.org/officeDocument/2006/relationships/comments" Target="../comments1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23.bin"/><Relationship Id="rId4" Type="http://schemas.openxmlformats.org/officeDocument/2006/relationships/comments" Target="../comments16.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24.bin"/><Relationship Id="rId4" Type="http://schemas.openxmlformats.org/officeDocument/2006/relationships/comments" Target="../comments17.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5.bin"/><Relationship Id="rId4" Type="http://schemas.openxmlformats.org/officeDocument/2006/relationships/comments" Target="../comments18.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6.bin"/><Relationship Id="rId4" Type="http://schemas.openxmlformats.org/officeDocument/2006/relationships/comments" Target="../comments19.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1.xml"/><Relationship Id="rId1" Type="http://schemas.openxmlformats.org/officeDocument/2006/relationships/printerSettings" Target="../printerSettings/printerSettings27.bin"/><Relationship Id="rId4" Type="http://schemas.openxmlformats.org/officeDocument/2006/relationships/comments" Target="../comments20.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3.xml"/><Relationship Id="rId1" Type="http://schemas.openxmlformats.org/officeDocument/2006/relationships/printerSettings" Target="../printerSettings/printerSettings28.bin"/><Relationship Id="rId4" Type="http://schemas.openxmlformats.org/officeDocument/2006/relationships/comments" Target="../comments21.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5.xml"/><Relationship Id="rId1" Type="http://schemas.openxmlformats.org/officeDocument/2006/relationships/printerSettings" Target="../printerSettings/printerSettings29.bin"/><Relationship Id="rId4" Type="http://schemas.openxmlformats.org/officeDocument/2006/relationships/comments" Target="../comments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7.xml"/><Relationship Id="rId1" Type="http://schemas.openxmlformats.org/officeDocument/2006/relationships/printerSettings" Target="../printerSettings/printerSettings30.bin"/><Relationship Id="rId4" Type="http://schemas.openxmlformats.org/officeDocument/2006/relationships/comments" Target="../comments23.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9.xml"/><Relationship Id="rId1" Type="http://schemas.openxmlformats.org/officeDocument/2006/relationships/printerSettings" Target="../printerSettings/printerSettings31.bin"/><Relationship Id="rId4" Type="http://schemas.openxmlformats.org/officeDocument/2006/relationships/comments" Target="../comments24.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omments" Target="../comments25.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33.xml"/><Relationship Id="rId1" Type="http://schemas.openxmlformats.org/officeDocument/2006/relationships/printerSettings" Target="../printerSettings/printerSettings33.bin"/><Relationship Id="rId4" Type="http://schemas.openxmlformats.org/officeDocument/2006/relationships/comments" Target="../comments26.xml"/></Relationships>
</file>

<file path=xl/worksheets/_rels/sheet34.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35.xml"/><Relationship Id="rId1" Type="http://schemas.openxmlformats.org/officeDocument/2006/relationships/printerSettings" Target="../printerSettings/printerSettings34.bin"/><Relationship Id="rId4" Type="http://schemas.openxmlformats.org/officeDocument/2006/relationships/comments" Target="../comments28.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7.xml"/><Relationship Id="rId1" Type="http://schemas.openxmlformats.org/officeDocument/2006/relationships/printerSettings" Target="../printerSettings/printerSettings35.bin"/><Relationship Id="rId4" Type="http://schemas.openxmlformats.org/officeDocument/2006/relationships/comments" Target="../comments29.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9.xml"/><Relationship Id="rId1" Type="http://schemas.openxmlformats.org/officeDocument/2006/relationships/printerSettings" Target="../printerSettings/printerSettings36.bin"/><Relationship Id="rId4" Type="http://schemas.openxmlformats.org/officeDocument/2006/relationships/comments" Target="../comments30.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41.xml"/><Relationship Id="rId1" Type="http://schemas.openxmlformats.org/officeDocument/2006/relationships/printerSettings" Target="../printerSettings/printerSettings37.bin"/><Relationship Id="rId4" Type="http://schemas.openxmlformats.org/officeDocument/2006/relationships/comments" Target="../comments31.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43.xml"/><Relationship Id="rId1" Type="http://schemas.openxmlformats.org/officeDocument/2006/relationships/printerSettings" Target="../printerSettings/printerSettings38.bin"/><Relationship Id="rId4" Type="http://schemas.openxmlformats.org/officeDocument/2006/relationships/comments" Target="../comments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45.xml"/><Relationship Id="rId1" Type="http://schemas.openxmlformats.org/officeDocument/2006/relationships/printerSettings" Target="../printerSettings/printerSettings39.bin"/><Relationship Id="rId4" Type="http://schemas.openxmlformats.org/officeDocument/2006/relationships/comments" Target="../comments33.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47.xml"/><Relationship Id="rId1" Type="http://schemas.openxmlformats.org/officeDocument/2006/relationships/printerSettings" Target="../printerSettings/printerSettings40.bin"/><Relationship Id="rId4" Type="http://schemas.openxmlformats.org/officeDocument/2006/relationships/comments" Target="../comments34.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49.xml"/><Relationship Id="rId1" Type="http://schemas.openxmlformats.org/officeDocument/2006/relationships/printerSettings" Target="../printerSettings/printerSettings41.bin"/><Relationship Id="rId4" Type="http://schemas.openxmlformats.org/officeDocument/2006/relationships/comments" Target="../comments35.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51.xml"/><Relationship Id="rId1" Type="http://schemas.openxmlformats.org/officeDocument/2006/relationships/printerSettings" Target="../printerSettings/printerSettings42.bin"/><Relationship Id="rId4" Type="http://schemas.openxmlformats.org/officeDocument/2006/relationships/comments" Target="../comments36.xml"/></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53.xml"/><Relationship Id="rId1" Type="http://schemas.openxmlformats.org/officeDocument/2006/relationships/printerSettings" Target="../printerSettings/printerSettings43.bin"/><Relationship Id="rId4" Type="http://schemas.openxmlformats.org/officeDocument/2006/relationships/comments" Target="../comments37.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55.xml"/><Relationship Id="rId1" Type="http://schemas.openxmlformats.org/officeDocument/2006/relationships/printerSettings" Target="../printerSettings/printerSettings44.bin"/><Relationship Id="rId4" Type="http://schemas.openxmlformats.org/officeDocument/2006/relationships/comments" Target="../comments38.x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57.xml"/><Relationship Id="rId1" Type="http://schemas.openxmlformats.org/officeDocument/2006/relationships/printerSettings" Target="../printerSettings/printerSettings45.bin"/><Relationship Id="rId4" Type="http://schemas.openxmlformats.org/officeDocument/2006/relationships/comments" Target="../comments39.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drawing" Target="../drawings/drawing59.xml"/><Relationship Id="rId1" Type="http://schemas.openxmlformats.org/officeDocument/2006/relationships/printerSettings" Target="../printerSettings/printerSettings46.bin"/><Relationship Id="rId4" Type="http://schemas.openxmlformats.org/officeDocument/2006/relationships/comments" Target="../comments40.xml"/></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61.xml"/><Relationship Id="rId1" Type="http://schemas.openxmlformats.org/officeDocument/2006/relationships/printerSettings" Target="../printerSettings/printerSettings47.bin"/><Relationship Id="rId4" Type="http://schemas.openxmlformats.org/officeDocument/2006/relationships/comments" Target="../comments41.x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63.xml"/><Relationship Id="rId1" Type="http://schemas.openxmlformats.org/officeDocument/2006/relationships/printerSettings" Target="../printerSettings/printerSettings48.bin"/><Relationship Id="rId4" Type="http://schemas.openxmlformats.org/officeDocument/2006/relationships/comments" Target="../comments4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drawing" Target="../drawings/drawing65.xml"/><Relationship Id="rId1" Type="http://schemas.openxmlformats.org/officeDocument/2006/relationships/printerSettings" Target="../printerSettings/printerSettings49.bin"/><Relationship Id="rId4" Type="http://schemas.openxmlformats.org/officeDocument/2006/relationships/comments" Target="../comments43.xml"/></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drawing" Target="../drawings/drawing67.xml"/><Relationship Id="rId1" Type="http://schemas.openxmlformats.org/officeDocument/2006/relationships/printerSettings" Target="../printerSettings/printerSettings50.bin"/><Relationship Id="rId4" Type="http://schemas.openxmlformats.org/officeDocument/2006/relationships/comments" Target="../comments44.xml"/></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drawing" Target="../drawings/drawing69.xml"/><Relationship Id="rId1" Type="http://schemas.openxmlformats.org/officeDocument/2006/relationships/printerSettings" Target="../printerSettings/printerSettings51.bin"/><Relationship Id="rId4" Type="http://schemas.openxmlformats.org/officeDocument/2006/relationships/comments" Target="../comments45.xml"/></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46.vml"/><Relationship Id="rId2" Type="http://schemas.openxmlformats.org/officeDocument/2006/relationships/drawing" Target="../drawings/drawing70.xml"/><Relationship Id="rId1" Type="http://schemas.openxmlformats.org/officeDocument/2006/relationships/printerSettings" Target="../printerSettings/printerSettings52.bin"/><Relationship Id="rId4" Type="http://schemas.openxmlformats.org/officeDocument/2006/relationships/comments" Target="../comments46.xml"/></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drawing" Target="../drawings/drawing71.xml"/><Relationship Id="rId1" Type="http://schemas.openxmlformats.org/officeDocument/2006/relationships/printerSettings" Target="../printerSettings/printerSettings53.bin"/><Relationship Id="rId4" Type="http://schemas.openxmlformats.org/officeDocument/2006/relationships/comments" Target="../comments47.xml"/></Relationships>
</file>

<file path=xl/worksheets/_rels/sheet55.xml.rels><?xml version="1.0" encoding="UTF-8" standalone="yes"?>
<Relationships xmlns="http://schemas.openxmlformats.org/package/2006/relationships"><Relationship Id="rId3" Type="http://schemas.openxmlformats.org/officeDocument/2006/relationships/vmlDrawing" Target="../drawings/vmlDrawing48.vml"/><Relationship Id="rId2" Type="http://schemas.openxmlformats.org/officeDocument/2006/relationships/drawing" Target="../drawings/drawing72.xml"/><Relationship Id="rId1" Type="http://schemas.openxmlformats.org/officeDocument/2006/relationships/printerSettings" Target="../printerSettings/printerSettings54.bin"/><Relationship Id="rId4" Type="http://schemas.openxmlformats.org/officeDocument/2006/relationships/comments" Target="../comments48.xml"/></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49.vml"/><Relationship Id="rId2" Type="http://schemas.openxmlformats.org/officeDocument/2006/relationships/drawing" Target="../drawings/drawing73.xml"/><Relationship Id="rId1" Type="http://schemas.openxmlformats.org/officeDocument/2006/relationships/printerSettings" Target="../printerSettings/printerSettings55.bin"/><Relationship Id="rId4" Type="http://schemas.openxmlformats.org/officeDocument/2006/relationships/comments" Target="../comments49.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50.vml"/><Relationship Id="rId2" Type="http://schemas.openxmlformats.org/officeDocument/2006/relationships/drawing" Target="../drawings/drawing74.xml"/><Relationship Id="rId1" Type="http://schemas.openxmlformats.org/officeDocument/2006/relationships/printerSettings" Target="../printerSettings/printerSettings56.bin"/><Relationship Id="rId4" Type="http://schemas.openxmlformats.org/officeDocument/2006/relationships/comments" Target="../comments50.xml"/></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51.vml"/><Relationship Id="rId2" Type="http://schemas.openxmlformats.org/officeDocument/2006/relationships/drawing" Target="../drawings/drawing75.xml"/><Relationship Id="rId1" Type="http://schemas.openxmlformats.org/officeDocument/2006/relationships/printerSettings" Target="../printerSettings/printerSettings57.bin"/><Relationship Id="rId4" Type="http://schemas.openxmlformats.org/officeDocument/2006/relationships/comments" Target="../comments51.xml"/></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52.vml"/><Relationship Id="rId2" Type="http://schemas.openxmlformats.org/officeDocument/2006/relationships/drawing" Target="../drawings/drawing76.xml"/><Relationship Id="rId1" Type="http://schemas.openxmlformats.org/officeDocument/2006/relationships/printerSettings" Target="../printerSettings/printerSettings58.bin"/><Relationship Id="rId4" Type="http://schemas.openxmlformats.org/officeDocument/2006/relationships/comments" Target="../comments5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53.vml"/><Relationship Id="rId2" Type="http://schemas.openxmlformats.org/officeDocument/2006/relationships/drawing" Target="../drawings/drawing77.xml"/><Relationship Id="rId1" Type="http://schemas.openxmlformats.org/officeDocument/2006/relationships/printerSettings" Target="../printerSettings/printerSettings59.bin"/><Relationship Id="rId4" Type="http://schemas.openxmlformats.org/officeDocument/2006/relationships/comments" Target="../comments53.xml"/></Relationships>
</file>

<file path=xl/worksheets/_rels/sheet61.xml.rels><?xml version="1.0" encoding="UTF-8" standalone="yes"?>
<Relationships xmlns="http://schemas.openxmlformats.org/package/2006/relationships"><Relationship Id="rId3" Type="http://schemas.openxmlformats.org/officeDocument/2006/relationships/vmlDrawing" Target="../drawings/vmlDrawing54.vml"/><Relationship Id="rId2" Type="http://schemas.openxmlformats.org/officeDocument/2006/relationships/drawing" Target="../drawings/drawing78.xml"/><Relationship Id="rId1" Type="http://schemas.openxmlformats.org/officeDocument/2006/relationships/printerSettings" Target="../printerSettings/printerSettings60.bin"/><Relationship Id="rId4" Type="http://schemas.openxmlformats.org/officeDocument/2006/relationships/comments" Target="../comments54.xml"/></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55.vml"/><Relationship Id="rId2" Type="http://schemas.openxmlformats.org/officeDocument/2006/relationships/drawing" Target="../drawings/drawing79.xml"/><Relationship Id="rId1" Type="http://schemas.openxmlformats.org/officeDocument/2006/relationships/printerSettings" Target="../printerSettings/printerSettings61.bin"/><Relationship Id="rId4" Type="http://schemas.openxmlformats.org/officeDocument/2006/relationships/comments" Target="../comments55.xml"/></Relationships>
</file>

<file path=xl/worksheets/_rels/sheet63.xml.rels><?xml version="1.0" encoding="UTF-8" standalone="yes"?>
<Relationships xmlns="http://schemas.openxmlformats.org/package/2006/relationships"><Relationship Id="rId3" Type="http://schemas.openxmlformats.org/officeDocument/2006/relationships/vmlDrawing" Target="../drawings/vmlDrawing56.vml"/><Relationship Id="rId2" Type="http://schemas.openxmlformats.org/officeDocument/2006/relationships/drawing" Target="../drawings/drawing80.xml"/><Relationship Id="rId1" Type="http://schemas.openxmlformats.org/officeDocument/2006/relationships/printerSettings" Target="../printerSettings/printerSettings62.bin"/><Relationship Id="rId4" Type="http://schemas.openxmlformats.org/officeDocument/2006/relationships/comments" Target="../comments56.xml"/></Relationships>
</file>

<file path=xl/worksheets/_rels/sheet64.xml.rels><?xml version="1.0" encoding="UTF-8" standalone="yes"?>
<Relationships xmlns="http://schemas.openxmlformats.org/package/2006/relationships"><Relationship Id="rId3" Type="http://schemas.openxmlformats.org/officeDocument/2006/relationships/vmlDrawing" Target="../drawings/vmlDrawing57.vml"/><Relationship Id="rId2" Type="http://schemas.openxmlformats.org/officeDocument/2006/relationships/drawing" Target="../drawings/drawing81.xml"/><Relationship Id="rId1" Type="http://schemas.openxmlformats.org/officeDocument/2006/relationships/printerSettings" Target="../printerSettings/printerSettings63.bin"/><Relationship Id="rId4" Type="http://schemas.openxmlformats.org/officeDocument/2006/relationships/comments" Target="../comments57.xml"/></Relationships>
</file>

<file path=xl/worksheets/_rels/sheet65.xml.rels><?xml version="1.0" encoding="UTF-8" standalone="yes"?>
<Relationships xmlns="http://schemas.openxmlformats.org/package/2006/relationships"><Relationship Id="rId3" Type="http://schemas.openxmlformats.org/officeDocument/2006/relationships/vmlDrawing" Target="../drawings/vmlDrawing58.vml"/><Relationship Id="rId2" Type="http://schemas.openxmlformats.org/officeDocument/2006/relationships/drawing" Target="../drawings/drawing82.xml"/><Relationship Id="rId1" Type="http://schemas.openxmlformats.org/officeDocument/2006/relationships/printerSettings" Target="../printerSettings/printerSettings64.bin"/><Relationship Id="rId4" Type="http://schemas.openxmlformats.org/officeDocument/2006/relationships/comments" Target="../comments58.xml"/></Relationships>
</file>

<file path=xl/worksheets/_rels/sheet66.xml.rels><?xml version="1.0" encoding="UTF-8" standalone="yes"?>
<Relationships xmlns="http://schemas.openxmlformats.org/package/2006/relationships"><Relationship Id="rId3" Type="http://schemas.openxmlformats.org/officeDocument/2006/relationships/vmlDrawing" Target="../drawings/vmlDrawing59.vml"/><Relationship Id="rId2" Type="http://schemas.openxmlformats.org/officeDocument/2006/relationships/drawing" Target="../drawings/drawing83.xml"/><Relationship Id="rId1" Type="http://schemas.openxmlformats.org/officeDocument/2006/relationships/printerSettings" Target="../printerSettings/printerSettings65.bin"/><Relationship Id="rId4" Type="http://schemas.openxmlformats.org/officeDocument/2006/relationships/comments" Target="../comments59.xml"/></Relationships>
</file>

<file path=xl/worksheets/_rels/sheet67.xml.rels><?xml version="1.0" encoding="UTF-8" standalone="yes"?>
<Relationships xmlns="http://schemas.openxmlformats.org/package/2006/relationships"><Relationship Id="rId3" Type="http://schemas.openxmlformats.org/officeDocument/2006/relationships/vmlDrawing" Target="../drawings/vmlDrawing60.vml"/><Relationship Id="rId2" Type="http://schemas.openxmlformats.org/officeDocument/2006/relationships/drawing" Target="../drawings/drawing84.xml"/><Relationship Id="rId1" Type="http://schemas.openxmlformats.org/officeDocument/2006/relationships/printerSettings" Target="../printerSettings/printerSettings66.bin"/><Relationship Id="rId4" Type="http://schemas.openxmlformats.org/officeDocument/2006/relationships/comments" Target="../comments60.xml"/></Relationships>
</file>

<file path=xl/worksheets/_rels/sheet68.xml.rels><?xml version="1.0" encoding="UTF-8" standalone="yes"?>
<Relationships xmlns="http://schemas.openxmlformats.org/package/2006/relationships"><Relationship Id="rId3" Type="http://schemas.openxmlformats.org/officeDocument/2006/relationships/vmlDrawing" Target="../drawings/vmlDrawing61.vml"/><Relationship Id="rId2" Type="http://schemas.openxmlformats.org/officeDocument/2006/relationships/drawing" Target="../drawings/drawing85.xml"/><Relationship Id="rId1" Type="http://schemas.openxmlformats.org/officeDocument/2006/relationships/printerSettings" Target="../printerSettings/printerSettings67.bin"/><Relationship Id="rId4" Type="http://schemas.openxmlformats.org/officeDocument/2006/relationships/comments" Target="../comments61.xml"/></Relationships>
</file>

<file path=xl/worksheets/_rels/sheet69.xml.rels><?xml version="1.0" encoding="UTF-8" standalone="yes"?>
<Relationships xmlns="http://schemas.openxmlformats.org/package/2006/relationships"><Relationship Id="rId3" Type="http://schemas.openxmlformats.org/officeDocument/2006/relationships/vmlDrawing" Target="../drawings/vmlDrawing62.vml"/><Relationship Id="rId2" Type="http://schemas.openxmlformats.org/officeDocument/2006/relationships/drawing" Target="../drawings/drawing86.xml"/><Relationship Id="rId1" Type="http://schemas.openxmlformats.org/officeDocument/2006/relationships/printerSettings" Target="../printerSettings/printerSettings68.bin"/><Relationship Id="rId4" Type="http://schemas.openxmlformats.org/officeDocument/2006/relationships/comments" Target="../comments6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3" Type="http://schemas.openxmlformats.org/officeDocument/2006/relationships/vmlDrawing" Target="../drawings/vmlDrawing63.vml"/><Relationship Id="rId2" Type="http://schemas.openxmlformats.org/officeDocument/2006/relationships/drawing" Target="../drawings/drawing87.xml"/><Relationship Id="rId1" Type="http://schemas.openxmlformats.org/officeDocument/2006/relationships/printerSettings" Target="../printerSettings/printerSettings69.bin"/><Relationship Id="rId4" Type="http://schemas.openxmlformats.org/officeDocument/2006/relationships/comments" Target="../comments63.xml"/></Relationships>
</file>

<file path=xl/worksheets/_rels/sheet71.xml.rels><?xml version="1.0" encoding="UTF-8" standalone="yes"?>
<Relationships xmlns="http://schemas.openxmlformats.org/package/2006/relationships"><Relationship Id="rId3" Type="http://schemas.openxmlformats.org/officeDocument/2006/relationships/vmlDrawing" Target="../drawings/vmlDrawing64.vml"/><Relationship Id="rId2" Type="http://schemas.openxmlformats.org/officeDocument/2006/relationships/drawing" Target="../drawings/drawing88.xml"/><Relationship Id="rId1" Type="http://schemas.openxmlformats.org/officeDocument/2006/relationships/printerSettings" Target="../printerSettings/printerSettings70.bin"/><Relationship Id="rId4" Type="http://schemas.openxmlformats.org/officeDocument/2006/relationships/comments" Target="../comments64.xml"/></Relationships>
</file>

<file path=xl/worksheets/_rels/sheet72.xml.rels><?xml version="1.0" encoding="UTF-8" standalone="yes"?>
<Relationships xmlns="http://schemas.openxmlformats.org/package/2006/relationships"><Relationship Id="rId3" Type="http://schemas.openxmlformats.org/officeDocument/2006/relationships/vmlDrawing" Target="../drawings/vmlDrawing65.vml"/><Relationship Id="rId2" Type="http://schemas.openxmlformats.org/officeDocument/2006/relationships/drawing" Target="../drawings/drawing89.xml"/><Relationship Id="rId1" Type="http://schemas.openxmlformats.org/officeDocument/2006/relationships/printerSettings" Target="../printerSettings/printerSettings71.bin"/><Relationship Id="rId4" Type="http://schemas.openxmlformats.org/officeDocument/2006/relationships/comments" Target="../comments65.xml"/></Relationships>
</file>

<file path=xl/worksheets/_rels/sheet73.xml.rels><?xml version="1.0" encoding="UTF-8" standalone="yes"?>
<Relationships xmlns="http://schemas.openxmlformats.org/package/2006/relationships"><Relationship Id="rId3" Type="http://schemas.openxmlformats.org/officeDocument/2006/relationships/vmlDrawing" Target="../drawings/vmlDrawing66.vml"/><Relationship Id="rId2" Type="http://schemas.openxmlformats.org/officeDocument/2006/relationships/drawing" Target="../drawings/drawing90.xml"/><Relationship Id="rId1" Type="http://schemas.openxmlformats.org/officeDocument/2006/relationships/printerSettings" Target="../printerSettings/printerSettings72.bin"/><Relationship Id="rId4" Type="http://schemas.openxmlformats.org/officeDocument/2006/relationships/comments" Target="../comments66.xml"/></Relationships>
</file>

<file path=xl/worksheets/_rels/sheet74.xml.rels><?xml version="1.0" encoding="UTF-8" standalone="yes"?>
<Relationships xmlns="http://schemas.openxmlformats.org/package/2006/relationships"><Relationship Id="rId3" Type="http://schemas.openxmlformats.org/officeDocument/2006/relationships/vmlDrawing" Target="../drawings/vmlDrawing67.vml"/><Relationship Id="rId2" Type="http://schemas.openxmlformats.org/officeDocument/2006/relationships/drawing" Target="../drawings/drawing91.xml"/><Relationship Id="rId1" Type="http://schemas.openxmlformats.org/officeDocument/2006/relationships/printerSettings" Target="../printerSettings/printerSettings73.bin"/><Relationship Id="rId4" Type="http://schemas.openxmlformats.org/officeDocument/2006/relationships/comments" Target="../comments67.xml"/></Relationships>
</file>

<file path=xl/worksheets/_rels/sheet75.xml.rels><?xml version="1.0" encoding="UTF-8" standalone="yes"?>
<Relationships xmlns="http://schemas.openxmlformats.org/package/2006/relationships"><Relationship Id="rId3" Type="http://schemas.openxmlformats.org/officeDocument/2006/relationships/vmlDrawing" Target="../drawings/vmlDrawing68.vml"/><Relationship Id="rId2" Type="http://schemas.openxmlformats.org/officeDocument/2006/relationships/drawing" Target="../drawings/drawing92.xml"/><Relationship Id="rId1" Type="http://schemas.openxmlformats.org/officeDocument/2006/relationships/printerSettings" Target="../printerSettings/printerSettings74.bin"/><Relationship Id="rId4" Type="http://schemas.openxmlformats.org/officeDocument/2006/relationships/comments" Target="../comments68.xml"/></Relationships>
</file>

<file path=xl/worksheets/_rels/sheet76.xml.rels><?xml version="1.0" encoding="UTF-8" standalone="yes"?>
<Relationships xmlns="http://schemas.openxmlformats.org/package/2006/relationships"><Relationship Id="rId3" Type="http://schemas.openxmlformats.org/officeDocument/2006/relationships/vmlDrawing" Target="../drawings/vmlDrawing69.vml"/><Relationship Id="rId2" Type="http://schemas.openxmlformats.org/officeDocument/2006/relationships/drawing" Target="../drawings/drawing93.xml"/><Relationship Id="rId1" Type="http://schemas.openxmlformats.org/officeDocument/2006/relationships/printerSettings" Target="../printerSettings/printerSettings75.bin"/><Relationship Id="rId4" Type="http://schemas.openxmlformats.org/officeDocument/2006/relationships/comments" Target="../comments69.xml"/></Relationships>
</file>

<file path=xl/worksheets/_rels/sheet77.xml.rels><?xml version="1.0" encoding="UTF-8" standalone="yes"?>
<Relationships xmlns="http://schemas.openxmlformats.org/package/2006/relationships"><Relationship Id="rId3" Type="http://schemas.openxmlformats.org/officeDocument/2006/relationships/vmlDrawing" Target="../drawings/vmlDrawing70.vml"/><Relationship Id="rId2" Type="http://schemas.openxmlformats.org/officeDocument/2006/relationships/drawing" Target="../drawings/drawing94.xml"/><Relationship Id="rId1" Type="http://schemas.openxmlformats.org/officeDocument/2006/relationships/printerSettings" Target="../printerSettings/printerSettings76.bin"/><Relationship Id="rId4" Type="http://schemas.openxmlformats.org/officeDocument/2006/relationships/comments" Target="../comments70.xml"/></Relationships>
</file>

<file path=xl/worksheets/_rels/sheet78.xml.rels><?xml version="1.0" encoding="UTF-8" standalone="yes"?>
<Relationships xmlns="http://schemas.openxmlformats.org/package/2006/relationships"><Relationship Id="rId3" Type="http://schemas.openxmlformats.org/officeDocument/2006/relationships/vmlDrawing" Target="../drawings/vmlDrawing71.vml"/><Relationship Id="rId2" Type="http://schemas.openxmlformats.org/officeDocument/2006/relationships/drawing" Target="../drawings/drawing95.xml"/><Relationship Id="rId1" Type="http://schemas.openxmlformats.org/officeDocument/2006/relationships/printerSettings" Target="../printerSettings/printerSettings77.bin"/><Relationship Id="rId4" Type="http://schemas.openxmlformats.org/officeDocument/2006/relationships/comments" Target="../comments71.xml"/></Relationships>
</file>

<file path=xl/worksheets/_rels/sheet79.xml.rels><?xml version="1.0" encoding="UTF-8" standalone="yes"?>
<Relationships xmlns="http://schemas.openxmlformats.org/package/2006/relationships"><Relationship Id="rId3" Type="http://schemas.openxmlformats.org/officeDocument/2006/relationships/vmlDrawing" Target="../drawings/vmlDrawing72.vml"/><Relationship Id="rId2" Type="http://schemas.openxmlformats.org/officeDocument/2006/relationships/drawing" Target="../drawings/drawing96.xml"/><Relationship Id="rId1" Type="http://schemas.openxmlformats.org/officeDocument/2006/relationships/printerSettings" Target="../printerSettings/printerSettings78.bin"/><Relationship Id="rId4" Type="http://schemas.openxmlformats.org/officeDocument/2006/relationships/comments" Target="../comments7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80.xml.rels><?xml version="1.0" encoding="UTF-8" standalone="yes"?>
<Relationships xmlns="http://schemas.openxmlformats.org/package/2006/relationships"><Relationship Id="rId3" Type="http://schemas.openxmlformats.org/officeDocument/2006/relationships/vmlDrawing" Target="../drawings/vmlDrawing73.vml"/><Relationship Id="rId2" Type="http://schemas.openxmlformats.org/officeDocument/2006/relationships/drawing" Target="../drawings/drawing97.xml"/><Relationship Id="rId1" Type="http://schemas.openxmlformats.org/officeDocument/2006/relationships/printerSettings" Target="../printerSettings/printerSettings79.bin"/><Relationship Id="rId4" Type="http://schemas.openxmlformats.org/officeDocument/2006/relationships/comments" Target="../comments73.xml"/></Relationships>
</file>

<file path=xl/worksheets/_rels/sheet81.xml.rels><?xml version="1.0" encoding="UTF-8" standalone="yes"?>
<Relationships xmlns="http://schemas.openxmlformats.org/package/2006/relationships"><Relationship Id="rId3" Type="http://schemas.openxmlformats.org/officeDocument/2006/relationships/vmlDrawing" Target="../drawings/vmlDrawing74.vml"/><Relationship Id="rId2" Type="http://schemas.openxmlformats.org/officeDocument/2006/relationships/drawing" Target="../drawings/drawing98.xml"/><Relationship Id="rId1" Type="http://schemas.openxmlformats.org/officeDocument/2006/relationships/printerSettings" Target="../printerSettings/printerSettings80.bin"/><Relationship Id="rId4" Type="http://schemas.openxmlformats.org/officeDocument/2006/relationships/comments" Target="../comments74.xml"/></Relationships>
</file>

<file path=xl/worksheets/_rels/sheet82.xml.rels><?xml version="1.0" encoding="UTF-8" standalone="yes"?>
<Relationships xmlns="http://schemas.openxmlformats.org/package/2006/relationships"><Relationship Id="rId3" Type="http://schemas.openxmlformats.org/officeDocument/2006/relationships/vmlDrawing" Target="../drawings/vmlDrawing75.vml"/><Relationship Id="rId2" Type="http://schemas.openxmlformats.org/officeDocument/2006/relationships/drawing" Target="../drawings/drawing99.xml"/><Relationship Id="rId1" Type="http://schemas.openxmlformats.org/officeDocument/2006/relationships/printerSettings" Target="../printerSettings/printerSettings81.bin"/><Relationship Id="rId4" Type="http://schemas.openxmlformats.org/officeDocument/2006/relationships/comments" Target="../comments7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abSelected="1" workbookViewId="0"/>
  </sheetViews>
  <sheetFormatPr defaultRowHeight="15" x14ac:dyDescent="0.25"/>
  <cols>
    <col min="2" max="2" width="21.5703125" customWidth="1"/>
    <col min="3" max="3" width="114.28515625" customWidth="1"/>
    <col min="4" max="4" width="55.5703125" customWidth="1"/>
  </cols>
  <sheetData>
    <row r="1" spans="1:4" ht="15.75" thickBot="1" x14ac:dyDescent="0.3">
      <c r="A1" s="225" t="s">
        <v>873</v>
      </c>
      <c r="C1" s="405"/>
      <c r="D1" s="406"/>
    </row>
    <row r="2" spans="1:4" ht="30.75" thickBot="1" x14ac:dyDescent="0.3">
      <c r="A2" s="410" t="s">
        <v>783</v>
      </c>
      <c r="B2" s="411" t="s">
        <v>874</v>
      </c>
      <c r="C2" s="411" t="s">
        <v>875</v>
      </c>
      <c r="D2" s="407" t="s">
        <v>892</v>
      </c>
    </row>
    <row r="3" spans="1:4" ht="30.75" thickBot="1" x14ac:dyDescent="0.3">
      <c r="A3" s="412" t="s">
        <v>820</v>
      </c>
      <c r="B3" s="410" t="s">
        <v>876</v>
      </c>
      <c r="C3" s="410" t="s">
        <v>877</v>
      </c>
      <c r="D3" s="408" t="s">
        <v>386</v>
      </c>
    </row>
    <row r="4" spans="1:4" ht="75.75" thickBot="1" x14ac:dyDescent="0.3">
      <c r="A4" s="413" t="s">
        <v>821</v>
      </c>
      <c r="B4" s="412" t="s">
        <v>878</v>
      </c>
      <c r="C4" s="412" t="s">
        <v>891</v>
      </c>
      <c r="D4" s="409" t="s">
        <v>138</v>
      </c>
    </row>
    <row r="5" spans="1:4" ht="30.75" thickBot="1" x14ac:dyDescent="0.3">
      <c r="A5" s="410" t="s">
        <v>862</v>
      </c>
      <c r="B5" s="413" t="s">
        <v>879</v>
      </c>
      <c r="C5" s="413" t="s">
        <v>880</v>
      </c>
      <c r="D5" s="408" t="s">
        <v>510</v>
      </c>
    </row>
    <row r="6" spans="1:4" ht="30.75" thickBot="1" x14ac:dyDescent="0.3">
      <c r="A6" s="413" t="s">
        <v>863</v>
      </c>
      <c r="B6" s="410" t="s">
        <v>881</v>
      </c>
      <c r="C6" s="410" t="s">
        <v>882</v>
      </c>
      <c r="D6" s="409" t="s">
        <v>139</v>
      </c>
    </row>
    <row r="7" spans="1:4" ht="30.75" thickBot="1" x14ac:dyDescent="0.3">
      <c r="A7" s="410" t="s">
        <v>864</v>
      </c>
      <c r="B7" s="413" t="s">
        <v>883</v>
      </c>
      <c r="C7" s="413" t="s">
        <v>884</v>
      </c>
      <c r="D7" s="408" t="s">
        <v>238</v>
      </c>
    </row>
    <row r="8" spans="1:4" ht="30.75" thickBot="1" x14ac:dyDescent="0.3">
      <c r="A8" s="413" t="s">
        <v>865</v>
      </c>
      <c r="B8" s="410" t="s">
        <v>885</v>
      </c>
      <c r="C8" s="410" t="s">
        <v>886</v>
      </c>
      <c r="D8" s="408" t="s">
        <v>541</v>
      </c>
    </row>
    <row r="9" spans="1:4" ht="30.75" thickBot="1" x14ac:dyDescent="0.3">
      <c r="A9" s="410" t="s">
        <v>866</v>
      </c>
      <c r="B9" s="413" t="s">
        <v>887</v>
      </c>
      <c r="C9" s="413" t="s">
        <v>888</v>
      </c>
      <c r="D9" s="409" t="s">
        <v>190</v>
      </c>
    </row>
    <row r="10" spans="1:4" ht="45.75" thickBot="1" x14ac:dyDescent="0.3">
      <c r="A10" s="412" t="s">
        <v>867</v>
      </c>
      <c r="B10" s="410" t="s">
        <v>889</v>
      </c>
      <c r="C10" s="410" t="s">
        <v>890</v>
      </c>
      <c r="D10" s="408" t="s">
        <v>893</v>
      </c>
    </row>
  </sheetData>
  <pageMargins left="0.7" right="0.7" top="0.75" bottom="0.75" header="0.3" footer="0.3"/>
  <pageSetup orientation="portrait" verticalDpi="597"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1"/>
    <pageSetUpPr fitToPage="1"/>
  </sheetPr>
  <dimension ref="A1:S45"/>
  <sheetViews>
    <sheetView zoomScale="90" zoomScaleNormal="90" workbookViewId="0">
      <selection activeCell="J21" sqref="J21"/>
    </sheetView>
  </sheetViews>
  <sheetFormatPr defaultRowHeight="15" x14ac:dyDescent="0.25"/>
  <cols>
    <col min="2" max="2" width="10.5703125" customWidth="1"/>
    <col min="9" max="9" width="10" customWidth="1"/>
  </cols>
  <sheetData>
    <row r="1" spans="1:16" x14ac:dyDescent="0.25">
      <c r="A1" s="7" t="s">
        <v>12</v>
      </c>
      <c r="B1" s="28"/>
      <c r="C1" s="28"/>
      <c r="D1" s="28"/>
      <c r="E1" s="28"/>
      <c r="F1" s="28"/>
      <c r="G1" s="28"/>
      <c r="H1" s="28"/>
      <c r="I1" s="29"/>
      <c r="J1" s="28"/>
      <c r="K1" s="28"/>
      <c r="L1" s="28"/>
      <c r="M1" s="28"/>
      <c r="N1" s="28"/>
      <c r="O1" s="28"/>
      <c r="P1" s="28"/>
    </row>
    <row r="2" spans="1:16" x14ac:dyDescent="0.25">
      <c r="A2" s="7"/>
      <c r="B2" s="28"/>
      <c r="C2" s="28"/>
      <c r="D2" s="28"/>
      <c r="E2" s="28"/>
      <c r="F2" s="28"/>
      <c r="G2" s="28"/>
      <c r="H2" s="28"/>
      <c r="I2" s="257"/>
      <c r="J2" s="28"/>
      <c r="K2" s="28"/>
      <c r="L2" s="28"/>
      <c r="M2" s="28"/>
      <c r="N2" s="28"/>
      <c r="O2" s="28"/>
      <c r="P2" s="28"/>
    </row>
    <row r="3" spans="1:16" x14ac:dyDescent="0.25">
      <c r="A3" s="7"/>
      <c r="B3" s="28"/>
      <c r="C3" s="28"/>
      <c r="D3" s="28"/>
      <c r="E3" s="28"/>
      <c r="F3" s="28"/>
      <c r="G3" s="28"/>
      <c r="H3" s="28"/>
      <c r="I3" s="257"/>
      <c r="J3" s="28"/>
      <c r="K3" s="28"/>
      <c r="L3" s="28"/>
      <c r="M3" s="28"/>
      <c r="N3" s="28"/>
      <c r="O3" s="28"/>
      <c r="P3" s="28"/>
    </row>
    <row r="4" spans="1:16" x14ac:dyDescent="0.25">
      <c r="A4" s="7"/>
      <c r="B4" s="28"/>
      <c r="C4" s="28"/>
      <c r="D4" s="28"/>
      <c r="E4" s="28"/>
      <c r="F4" s="28"/>
      <c r="G4" s="28"/>
      <c r="H4" s="28"/>
      <c r="I4" s="257"/>
      <c r="J4" s="28"/>
      <c r="K4" s="28"/>
      <c r="L4" s="28"/>
      <c r="M4" s="28"/>
      <c r="N4" s="28"/>
      <c r="O4" s="28"/>
      <c r="P4" s="28"/>
    </row>
    <row r="5" spans="1:16" x14ac:dyDescent="0.25">
      <c r="A5" s="7"/>
      <c r="B5" s="28"/>
      <c r="C5" s="28"/>
      <c r="D5" s="28"/>
      <c r="E5" s="28"/>
      <c r="F5" s="28"/>
      <c r="G5" s="28"/>
      <c r="H5" s="28"/>
      <c r="I5" s="257"/>
      <c r="J5" s="28"/>
      <c r="K5" s="28"/>
      <c r="L5" s="28"/>
      <c r="M5" s="28"/>
      <c r="N5" s="28"/>
      <c r="O5" s="28"/>
      <c r="P5" s="28"/>
    </row>
    <row r="6" spans="1:16" x14ac:dyDescent="0.25">
      <c r="A6" s="7"/>
      <c r="B6" s="28"/>
      <c r="C6" s="28"/>
      <c r="D6" s="28"/>
      <c r="E6" s="28"/>
      <c r="F6" s="28"/>
      <c r="G6" s="28"/>
      <c r="H6" s="28"/>
      <c r="I6" s="257"/>
      <c r="J6" s="28"/>
      <c r="K6" s="28"/>
      <c r="L6" s="28"/>
      <c r="M6" s="28"/>
      <c r="N6" s="28"/>
      <c r="O6" s="28"/>
      <c r="P6" s="28"/>
    </row>
    <row r="7" spans="1:16" x14ac:dyDescent="0.25">
      <c r="A7" s="30" t="s">
        <v>13</v>
      </c>
      <c r="B7" s="30">
        <v>40879</v>
      </c>
      <c r="C7" s="28"/>
      <c r="D7" s="28"/>
      <c r="E7" s="28"/>
      <c r="F7" s="28"/>
      <c r="G7" s="28"/>
      <c r="H7" s="28"/>
      <c r="I7" s="29"/>
      <c r="J7" s="28"/>
      <c r="K7" s="28"/>
      <c r="L7" s="28"/>
      <c r="M7" s="28"/>
      <c r="N7" s="28"/>
      <c r="O7" s="28"/>
      <c r="P7" s="28"/>
    </row>
    <row r="8" spans="1:16" x14ac:dyDescent="0.25">
      <c r="A8" s="28" t="s">
        <v>14</v>
      </c>
      <c r="B8" s="28">
        <v>4</v>
      </c>
      <c r="C8" s="28" t="s">
        <v>464</v>
      </c>
      <c r="D8" s="28"/>
      <c r="E8" s="28"/>
      <c r="F8" s="28"/>
      <c r="G8" s="28"/>
      <c r="H8" s="28"/>
      <c r="I8" s="29"/>
      <c r="J8" s="28"/>
      <c r="K8" s="28" t="s">
        <v>34</v>
      </c>
      <c r="L8" s="28"/>
      <c r="M8" s="28"/>
      <c r="N8" s="28"/>
      <c r="O8" s="28"/>
      <c r="P8" s="28"/>
    </row>
    <row r="9" spans="1:16" x14ac:dyDescent="0.25">
      <c r="A9" s="8" t="s">
        <v>15</v>
      </c>
      <c r="B9" s="8">
        <v>3</v>
      </c>
      <c r="C9" s="28" t="s">
        <v>125</v>
      </c>
      <c r="D9" s="8"/>
      <c r="E9" s="8"/>
      <c r="F9" s="8"/>
      <c r="G9" s="8"/>
      <c r="H9" s="8"/>
      <c r="I9" s="25"/>
      <c r="J9" s="8"/>
      <c r="K9" s="8"/>
      <c r="L9" s="8"/>
      <c r="M9" s="8"/>
      <c r="N9" s="8"/>
      <c r="O9" s="8"/>
      <c r="P9" s="8"/>
    </row>
    <row r="10" spans="1:16" x14ac:dyDescent="0.25">
      <c r="A10" s="28" t="s">
        <v>16</v>
      </c>
      <c r="B10" s="31">
        <v>2000</v>
      </c>
      <c r="C10" s="31" t="s">
        <v>43</v>
      </c>
      <c r="D10" s="28"/>
      <c r="E10" s="28"/>
      <c r="F10" s="28"/>
      <c r="G10" s="28"/>
      <c r="H10" s="28"/>
      <c r="I10" s="29" t="s">
        <v>34</v>
      </c>
      <c r="J10" s="28" t="s">
        <v>34</v>
      </c>
      <c r="K10" s="28" t="s">
        <v>34</v>
      </c>
      <c r="L10" s="28" t="s">
        <v>34</v>
      </c>
      <c r="M10" s="28" t="s">
        <v>34</v>
      </c>
      <c r="N10" s="28" t="s">
        <v>34</v>
      </c>
      <c r="O10" s="28"/>
      <c r="P10" s="28"/>
    </row>
    <row r="11" spans="1:16" x14ac:dyDescent="0.25">
      <c r="A11" s="28"/>
      <c r="B11" s="238">
        <v>200000000</v>
      </c>
      <c r="C11" s="31" t="s">
        <v>58</v>
      </c>
      <c r="D11" s="28"/>
      <c r="E11" s="28"/>
      <c r="F11" s="28"/>
      <c r="G11" s="28"/>
      <c r="H11" s="28"/>
      <c r="I11" s="29"/>
      <c r="J11" s="28"/>
      <c r="K11" s="28" t="s">
        <v>34</v>
      </c>
      <c r="L11" s="28"/>
      <c r="M11" s="28"/>
      <c r="N11" s="28"/>
      <c r="O11" s="28"/>
      <c r="P11" s="28"/>
    </row>
    <row r="12" spans="1:16" x14ac:dyDescent="0.25">
      <c r="A12" s="28"/>
      <c r="B12" s="31">
        <v>95</v>
      </c>
      <c r="C12" s="31" t="s">
        <v>44</v>
      </c>
      <c r="D12" s="28"/>
      <c r="E12" s="28"/>
      <c r="F12" s="28"/>
      <c r="G12" s="28"/>
      <c r="H12" s="28"/>
      <c r="I12" s="29"/>
      <c r="J12" s="28"/>
      <c r="K12" s="28"/>
      <c r="L12" s="28"/>
      <c r="M12" s="28"/>
      <c r="N12" s="28"/>
      <c r="O12" s="28"/>
      <c r="P12" s="28"/>
    </row>
    <row r="13" spans="1:16" x14ac:dyDescent="0.25">
      <c r="A13" s="28"/>
      <c r="B13" s="31">
        <v>6</v>
      </c>
      <c r="C13" s="28" t="s">
        <v>697</v>
      </c>
      <c r="D13" s="28"/>
      <c r="E13" s="28"/>
      <c r="F13" s="28"/>
      <c r="G13" s="28"/>
      <c r="H13" s="28"/>
      <c r="I13" s="242"/>
      <c r="J13" s="28"/>
      <c r="K13" s="28"/>
      <c r="L13" s="28"/>
      <c r="M13" s="28"/>
      <c r="N13" s="28"/>
      <c r="O13" s="28"/>
      <c r="P13" s="28"/>
    </row>
    <row r="14" spans="1:16" x14ac:dyDescent="0.25">
      <c r="A14" s="28"/>
      <c r="B14" s="31">
        <v>100</v>
      </c>
      <c r="C14" s="87" t="s">
        <v>696</v>
      </c>
      <c r="D14" s="28"/>
      <c r="E14" s="28"/>
      <c r="F14" s="28"/>
      <c r="G14" s="28"/>
      <c r="H14" s="28"/>
      <c r="I14" s="242"/>
      <c r="J14" s="28"/>
      <c r="K14" s="28"/>
      <c r="L14" s="28"/>
      <c r="M14" s="28"/>
      <c r="N14" s="28"/>
      <c r="O14" s="28"/>
      <c r="P14" s="28"/>
    </row>
    <row r="15" spans="1:16" x14ac:dyDescent="0.25">
      <c r="A15" s="28"/>
      <c r="B15" s="31">
        <v>0</v>
      </c>
      <c r="C15" s="87" t="s">
        <v>698</v>
      </c>
      <c r="D15" s="28"/>
      <c r="E15" s="28"/>
      <c r="F15" s="28"/>
      <c r="G15" s="28"/>
      <c r="H15" s="28"/>
      <c r="I15" s="242"/>
      <c r="J15" s="28"/>
      <c r="K15" s="28"/>
      <c r="L15" s="28"/>
      <c r="M15" s="28"/>
      <c r="N15" s="28"/>
      <c r="O15" s="28"/>
      <c r="P15" s="28"/>
    </row>
    <row r="16" spans="1:16" x14ac:dyDescent="0.25">
      <c r="A16" s="28"/>
      <c r="B16" s="232">
        <f>(B12*B13/100*1000)/(B10+B12-B14+B15)*1000</f>
        <v>2857.1428571428573</v>
      </c>
      <c r="C16" s="28" t="s">
        <v>700</v>
      </c>
      <c r="D16" s="28"/>
      <c r="E16" s="28"/>
      <c r="F16" s="28"/>
      <c r="G16" s="28"/>
      <c r="H16" s="28"/>
      <c r="I16" s="242"/>
      <c r="J16" s="28"/>
      <c r="K16" s="28"/>
      <c r="L16" s="28"/>
      <c r="M16" s="28"/>
      <c r="N16" s="28"/>
      <c r="O16" s="28"/>
      <c r="P16" s="28"/>
    </row>
    <row r="17" spans="1:19" ht="15.75" thickBot="1" x14ac:dyDescent="0.3">
      <c r="A17" s="28"/>
      <c r="B17" s="28"/>
      <c r="C17" s="28" t="s">
        <v>705</v>
      </c>
      <c r="D17" s="28"/>
      <c r="E17" s="28"/>
      <c r="F17" s="28"/>
      <c r="G17" s="28"/>
      <c r="H17" s="28"/>
      <c r="I17" s="29"/>
      <c r="J17" s="28"/>
      <c r="K17" s="28"/>
      <c r="L17" s="28"/>
      <c r="M17" s="28"/>
      <c r="N17" s="28"/>
      <c r="O17" s="28"/>
      <c r="P17" s="28"/>
    </row>
    <row r="18" spans="1:19" ht="90" thickBot="1" x14ac:dyDescent="0.3">
      <c r="A18" s="10" t="s">
        <v>29</v>
      </c>
      <c r="B18" s="11" t="s">
        <v>17</v>
      </c>
      <c r="C18" s="11" t="s">
        <v>30</v>
      </c>
      <c r="D18" s="11" t="s">
        <v>31</v>
      </c>
      <c r="E18" s="11" t="s">
        <v>32</v>
      </c>
      <c r="F18" s="11" t="s">
        <v>33</v>
      </c>
      <c r="G18" s="11" t="s">
        <v>18</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23.8</v>
      </c>
      <c r="C19" s="23">
        <v>8.64</v>
      </c>
      <c r="D19" s="23">
        <v>9.1</v>
      </c>
      <c r="E19" s="23">
        <v>0.62</v>
      </c>
      <c r="F19" s="23">
        <v>1.1499999999999999</v>
      </c>
      <c r="G19" s="23">
        <v>600</v>
      </c>
      <c r="H19" s="23">
        <v>3610</v>
      </c>
      <c r="I19" s="33">
        <v>14000000</v>
      </c>
      <c r="J19" s="23">
        <v>0</v>
      </c>
      <c r="K19" s="33">
        <v>17000000</v>
      </c>
      <c r="L19" s="23" t="s">
        <v>26</v>
      </c>
      <c r="M19" s="34"/>
      <c r="N19" s="34"/>
      <c r="O19" s="35"/>
      <c r="P19" s="233">
        <f>B$16*A19</f>
        <v>0</v>
      </c>
      <c r="Q19" s="233">
        <f>6/LINEST(J19:J21,P19:P21,FALSE)</f>
        <v>16600.887008178379</v>
      </c>
      <c r="R19" s="233">
        <f>Q19/3000</f>
        <v>5.5336290027261263</v>
      </c>
      <c r="S19" s="233">
        <f>(J26/LINEST($J19:$J21,$P19:$P21,FALSE))/$B$16</f>
        <v>6.9239532896610667</v>
      </c>
    </row>
    <row r="20" spans="1:19" ht="15.75" thickBot="1" x14ac:dyDescent="0.3">
      <c r="A20" s="32">
        <v>3</v>
      </c>
      <c r="B20" s="24">
        <v>23.5</v>
      </c>
      <c r="C20" s="24">
        <v>8.68</v>
      </c>
      <c r="D20" s="24">
        <v>9.8699999999999992</v>
      </c>
      <c r="E20" s="24">
        <v>2200</v>
      </c>
      <c r="F20" s="24">
        <v>1.01</v>
      </c>
      <c r="G20" s="24">
        <v>600</v>
      </c>
      <c r="H20" s="24">
        <v>3600</v>
      </c>
      <c r="I20" s="33">
        <v>1700</v>
      </c>
      <c r="J20" s="24">
        <v>3.92</v>
      </c>
      <c r="K20" s="24">
        <v>0</v>
      </c>
      <c r="L20" s="24" t="s">
        <v>37</v>
      </c>
      <c r="M20" s="35"/>
      <c r="N20" s="35"/>
      <c r="O20" s="35"/>
      <c r="P20" s="233">
        <f>B$16*A20</f>
        <v>8571.4285714285725</v>
      </c>
    </row>
    <row r="21" spans="1:19" ht="15.75" thickBot="1" x14ac:dyDescent="0.3">
      <c r="A21" s="32">
        <v>5</v>
      </c>
      <c r="B21" s="24">
        <v>23.9</v>
      </c>
      <c r="C21" s="24">
        <v>8.69</v>
      </c>
      <c r="D21" s="24">
        <v>9.8699999999999992</v>
      </c>
      <c r="E21" s="24">
        <v>2300</v>
      </c>
      <c r="F21" s="24">
        <v>0.44</v>
      </c>
      <c r="G21" s="24">
        <v>600</v>
      </c>
      <c r="H21" s="24">
        <v>3580</v>
      </c>
      <c r="I21" s="33">
        <v>300</v>
      </c>
      <c r="J21" s="24">
        <v>4.67</v>
      </c>
      <c r="K21" s="24">
        <v>0</v>
      </c>
      <c r="L21" s="24" t="s">
        <v>37</v>
      </c>
      <c r="M21" s="35"/>
      <c r="N21" s="35"/>
      <c r="O21" s="35"/>
      <c r="P21" s="233">
        <f>B$16*A21</f>
        <v>14285.714285714286</v>
      </c>
    </row>
    <row r="22" spans="1:19" ht="15.75" thickBot="1" x14ac:dyDescent="0.3">
      <c r="A22" s="32">
        <v>10</v>
      </c>
      <c r="B22" s="24">
        <v>24</v>
      </c>
      <c r="C22" s="24">
        <v>8.69</v>
      </c>
      <c r="D22" s="24">
        <v>9.82</v>
      </c>
      <c r="E22" s="24">
        <v>2400</v>
      </c>
      <c r="F22" s="24">
        <v>0.66</v>
      </c>
      <c r="G22" s="24">
        <v>600</v>
      </c>
      <c r="H22" s="24">
        <v>3700</v>
      </c>
      <c r="I22" s="24">
        <v>0</v>
      </c>
      <c r="J22" s="24" t="s">
        <v>51</v>
      </c>
      <c r="K22" s="24">
        <v>0</v>
      </c>
      <c r="L22" s="24" t="s">
        <v>37</v>
      </c>
      <c r="M22" s="35"/>
      <c r="N22" s="35"/>
      <c r="O22" s="35"/>
      <c r="P22" s="233"/>
    </row>
    <row r="23" spans="1:19" ht="15.75" thickBot="1" x14ac:dyDescent="0.3">
      <c r="A23" s="32">
        <v>15</v>
      </c>
      <c r="B23" s="24">
        <v>24</v>
      </c>
      <c r="C23" s="24">
        <v>8.68</v>
      </c>
      <c r="D23" s="24">
        <v>9.86</v>
      </c>
      <c r="E23" s="24">
        <v>2000</v>
      </c>
      <c r="F23" s="24">
        <v>0.73</v>
      </c>
      <c r="G23" s="24">
        <v>650</v>
      </c>
      <c r="H23" s="24">
        <v>3600</v>
      </c>
      <c r="I23" s="24">
        <v>0</v>
      </c>
      <c r="J23" s="24" t="s">
        <v>51</v>
      </c>
      <c r="K23" s="24">
        <v>0</v>
      </c>
      <c r="L23" s="24" t="s">
        <v>37</v>
      </c>
      <c r="M23" s="35"/>
      <c r="N23" s="35"/>
      <c r="O23" s="35"/>
      <c r="P23" s="233"/>
    </row>
    <row r="24" spans="1:19" ht="15.75" thickBot="1" x14ac:dyDescent="0.3">
      <c r="A24" s="32">
        <v>30</v>
      </c>
      <c r="B24" s="24">
        <v>24.1</v>
      </c>
      <c r="C24" s="24">
        <v>8.6999999999999993</v>
      </c>
      <c r="D24" s="24">
        <v>9.7799999999999994</v>
      </c>
      <c r="E24" s="24">
        <v>2400</v>
      </c>
      <c r="F24" s="24">
        <v>0.86</v>
      </c>
      <c r="G24" s="24">
        <v>600</v>
      </c>
      <c r="H24" s="24">
        <v>3700</v>
      </c>
      <c r="I24" s="24">
        <v>0</v>
      </c>
      <c r="J24" s="24" t="s">
        <v>51</v>
      </c>
      <c r="K24" s="24">
        <v>0</v>
      </c>
      <c r="L24" s="24" t="s">
        <v>37</v>
      </c>
      <c r="M24" s="36">
        <v>520</v>
      </c>
      <c r="N24" s="36">
        <v>15180</v>
      </c>
      <c r="O24" s="36">
        <v>5000</v>
      </c>
      <c r="P24" s="233"/>
    </row>
    <row r="25" spans="1:19" ht="15.75" thickBot="1" x14ac:dyDescent="0.3">
      <c r="A25" s="32" t="s">
        <v>52</v>
      </c>
      <c r="B25" s="24">
        <v>24.1</v>
      </c>
      <c r="C25" s="24">
        <v>8.6999999999999993</v>
      </c>
      <c r="D25" s="24">
        <v>9.8000000000000007</v>
      </c>
      <c r="E25" s="24">
        <v>2300</v>
      </c>
      <c r="F25" s="58">
        <v>0.67</v>
      </c>
      <c r="G25" s="24">
        <v>600</v>
      </c>
      <c r="H25" s="24">
        <v>3980</v>
      </c>
      <c r="I25" s="24">
        <v>0</v>
      </c>
      <c r="J25" s="24" t="s">
        <v>51</v>
      </c>
      <c r="K25" s="24">
        <v>0</v>
      </c>
      <c r="L25" s="24" t="s">
        <v>37</v>
      </c>
      <c r="M25" s="36">
        <v>440</v>
      </c>
      <c r="N25" s="36">
        <v>15200</v>
      </c>
      <c r="O25" s="27"/>
      <c r="P25" s="28"/>
    </row>
    <row r="26" spans="1:19" x14ac:dyDescent="0.25">
      <c r="A26" s="28"/>
      <c r="B26" s="28">
        <f>AVERAGE(B20:B21)</f>
        <v>23.7</v>
      </c>
      <c r="C26" s="28">
        <f>AVERAGE(C20:C21)</f>
        <v>8.6849999999999987</v>
      </c>
      <c r="D26" s="28"/>
      <c r="E26" s="28"/>
      <c r="F26" s="28"/>
      <c r="G26" s="28"/>
      <c r="H26" s="28"/>
      <c r="I26" s="29"/>
      <c r="J26" s="28">
        <v>7.15</v>
      </c>
      <c r="K26" s="28"/>
      <c r="L26" s="28"/>
      <c r="M26" s="28"/>
      <c r="N26" s="28"/>
      <c r="O26" s="28"/>
      <c r="P26" s="28"/>
    </row>
    <row r="27" spans="1:19" x14ac:dyDescent="0.25">
      <c r="A27" s="28" t="s">
        <v>140</v>
      </c>
      <c r="B27" s="8"/>
      <c r="C27" s="8"/>
      <c r="D27" s="8"/>
      <c r="E27" s="8"/>
      <c r="F27" s="8"/>
      <c r="G27" s="8"/>
      <c r="H27" s="8"/>
      <c r="I27" s="25"/>
      <c r="J27" s="8"/>
      <c r="K27" s="8"/>
      <c r="L27" s="8"/>
      <c r="M27" s="8"/>
      <c r="N27" s="28"/>
      <c r="O27" s="8"/>
      <c r="P27" s="8"/>
    </row>
    <row r="28" spans="1:19" x14ac:dyDescent="0.25">
      <c r="A28" s="28"/>
      <c r="B28" s="28" t="s">
        <v>141</v>
      </c>
      <c r="C28" s="8"/>
      <c r="D28" s="8"/>
      <c r="E28" s="8"/>
      <c r="F28" s="8"/>
      <c r="G28" s="8"/>
      <c r="H28" s="8"/>
      <c r="I28" s="25"/>
      <c r="J28" s="8"/>
      <c r="K28" s="8"/>
      <c r="L28" s="8"/>
      <c r="M28" s="8"/>
      <c r="N28" s="28"/>
      <c r="O28" s="8"/>
      <c r="P28" s="8"/>
    </row>
    <row r="29" spans="1:19" x14ac:dyDescent="0.25">
      <c r="A29" s="28" t="s">
        <v>53</v>
      </c>
      <c r="B29" s="28"/>
      <c r="C29" s="28"/>
      <c r="D29" s="28"/>
      <c r="E29" s="28"/>
      <c r="F29" s="28"/>
      <c r="G29" s="28"/>
      <c r="H29" s="28"/>
      <c r="I29" s="29"/>
      <c r="J29" s="28"/>
      <c r="K29" s="28"/>
      <c r="L29" s="28"/>
      <c r="M29" s="28"/>
      <c r="N29" s="28"/>
      <c r="O29" s="28"/>
      <c r="P29" s="28"/>
    </row>
    <row r="30" spans="1:19" x14ac:dyDescent="0.25">
      <c r="F30" s="28"/>
      <c r="G30" s="28"/>
      <c r="H30" s="28"/>
      <c r="I30" s="29"/>
      <c r="J30" s="28"/>
      <c r="K30" s="28"/>
      <c r="L30" s="28"/>
      <c r="M30" s="28"/>
      <c r="N30" s="28"/>
      <c r="O30" s="28"/>
      <c r="P30" s="28"/>
    </row>
    <row r="31" spans="1:19" x14ac:dyDescent="0.25">
      <c r="A31" s="28"/>
      <c r="B31" s="28"/>
      <c r="C31" s="28"/>
      <c r="D31" s="28"/>
      <c r="E31" s="28"/>
      <c r="F31" s="28"/>
      <c r="G31" s="28"/>
      <c r="H31" s="28"/>
      <c r="I31" s="29"/>
      <c r="J31" s="28"/>
      <c r="K31" s="28"/>
      <c r="L31" s="28"/>
      <c r="M31" s="28"/>
      <c r="N31" s="28"/>
      <c r="O31" s="28"/>
      <c r="P31" s="28"/>
    </row>
    <row r="32" spans="1:19" x14ac:dyDescent="0.25">
      <c r="A32" s="19" t="s">
        <v>28</v>
      </c>
      <c r="B32" s="28"/>
      <c r="C32" s="28"/>
      <c r="D32" s="28"/>
      <c r="E32" s="28"/>
      <c r="F32" s="28"/>
      <c r="G32" s="28"/>
      <c r="H32" s="28"/>
      <c r="I32" s="29"/>
      <c r="J32" s="28"/>
      <c r="K32" s="28"/>
      <c r="L32" s="28"/>
      <c r="M32" s="28"/>
      <c r="N32" s="28"/>
      <c r="O32" s="28"/>
      <c r="P32" s="28"/>
    </row>
    <row r="33" spans="1:16" x14ac:dyDescent="0.25">
      <c r="A33" s="28"/>
      <c r="B33" s="22"/>
      <c r="C33" s="28"/>
      <c r="D33" s="28"/>
      <c r="E33" s="28"/>
      <c r="F33" s="28"/>
      <c r="G33" s="28"/>
      <c r="H33" s="28"/>
      <c r="I33" s="29"/>
      <c r="J33" s="28"/>
      <c r="K33" s="28"/>
      <c r="L33" s="28"/>
      <c r="M33" s="28"/>
      <c r="N33" s="28"/>
      <c r="O33" s="28"/>
      <c r="P33" s="28"/>
    </row>
    <row r="34" spans="1:16" x14ac:dyDescent="0.25">
      <c r="A34" s="28"/>
      <c r="B34" s="22" t="s">
        <v>128</v>
      </c>
      <c r="C34" s="8"/>
      <c r="D34" s="8"/>
      <c r="E34" s="8"/>
      <c r="F34" s="8"/>
      <c r="G34" s="8"/>
      <c r="H34" s="8"/>
      <c r="I34" s="25"/>
      <c r="J34" s="8"/>
      <c r="K34" s="8"/>
      <c r="L34" s="28"/>
      <c r="M34" s="28"/>
      <c r="N34" s="28"/>
      <c r="O34" s="28"/>
      <c r="P34" s="28"/>
    </row>
    <row r="35" spans="1:16" x14ac:dyDescent="0.25">
      <c r="A35" s="28"/>
      <c r="B35" s="22" t="s">
        <v>156</v>
      </c>
      <c r="C35" s="8"/>
      <c r="D35" s="8"/>
      <c r="E35" s="8"/>
      <c r="F35" s="8"/>
      <c r="G35" s="8"/>
      <c r="H35" s="8"/>
      <c r="I35" s="25"/>
      <c r="J35" s="8"/>
      <c r="K35" s="8"/>
      <c r="L35" s="28"/>
      <c r="M35" s="28"/>
      <c r="N35" s="28"/>
      <c r="O35" s="28"/>
      <c r="P35" s="28"/>
    </row>
    <row r="36" spans="1:16" x14ac:dyDescent="0.25">
      <c r="A36" s="28"/>
      <c r="B36" s="20" t="s">
        <v>36</v>
      </c>
      <c r="C36" s="8"/>
      <c r="D36" s="8"/>
      <c r="E36" s="8"/>
      <c r="F36" s="8"/>
      <c r="G36" s="8"/>
      <c r="H36" s="8"/>
      <c r="I36" s="25"/>
      <c r="J36" s="8"/>
      <c r="K36" s="8"/>
      <c r="L36" s="28"/>
      <c r="M36" s="28"/>
      <c r="N36" s="28"/>
      <c r="O36" s="28"/>
      <c r="P36" s="28"/>
    </row>
    <row r="37" spans="1:16" x14ac:dyDescent="0.25">
      <c r="A37" s="28"/>
      <c r="B37" s="22" t="s">
        <v>133</v>
      </c>
      <c r="L37" s="28"/>
      <c r="M37" s="28"/>
      <c r="N37" s="28"/>
      <c r="O37" s="28"/>
      <c r="P37" s="28"/>
    </row>
    <row r="38" spans="1:16" x14ac:dyDescent="0.25">
      <c r="A38" s="28"/>
      <c r="L38" s="28"/>
      <c r="M38" s="28"/>
      <c r="N38" s="28"/>
      <c r="O38" s="28"/>
      <c r="P38" s="28"/>
    </row>
    <row r="39" spans="1:16" x14ac:dyDescent="0.25">
      <c r="A39" s="28"/>
      <c r="B39" s="22" t="s">
        <v>38</v>
      </c>
      <c r="C39" s="21"/>
      <c r="D39" s="21"/>
      <c r="E39" s="8"/>
      <c r="F39" s="8"/>
      <c r="G39" s="8"/>
      <c r="H39" s="8"/>
      <c r="I39" s="25"/>
      <c r="J39" s="8"/>
      <c r="K39" s="8"/>
      <c r="M39" s="28"/>
      <c r="N39" s="28"/>
      <c r="O39" s="28"/>
      <c r="P39" s="28"/>
    </row>
    <row r="40" spans="1:16" x14ac:dyDescent="0.25">
      <c r="A40" s="28"/>
      <c r="B40" s="37" t="s">
        <v>134</v>
      </c>
      <c r="C40" s="21"/>
      <c r="D40" s="8"/>
      <c r="E40" s="8"/>
      <c r="F40" s="8"/>
      <c r="G40" s="8"/>
      <c r="H40" s="25"/>
      <c r="I40" s="8"/>
      <c r="J40" s="8"/>
      <c r="K40" s="8"/>
      <c r="M40" s="28" t="s">
        <v>34</v>
      </c>
      <c r="N40" s="28"/>
      <c r="O40" s="28"/>
      <c r="P40" s="28"/>
    </row>
    <row r="41" spans="1:16" x14ac:dyDescent="0.25">
      <c r="A41" s="28"/>
      <c r="B41" s="22" t="s">
        <v>46</v>
      </c>
      <c r="C41" s="8"/>
      <c r="D41" s="8"/>
      <c r="E41" s="8"/>
      <c r="F41" s="8"/>
      <c r="G41" s="8"/>
      <c r="H41" s="8"/>
      <c r="I41" s="25"/>
      <c r="J41" s="8"/>
      <c r="K41" s="8"/>
      <c r="L41" s="28"/>
      <c r="M41" s="28"/>
      <c r="N41" s="28"/>
      <c r="O41" s="28"/>
      <c r="P41" s="28"/>
    </row>
    <row r="42" spans="1:16" x14ac:dyDescent="0.25">
      <c r="A42" s="28"/>
      <c r="B42" s="22"/>
      <c r="C42" s="28"/>
      <c r="D42" s="28"/>
      <c r="E42" s="28"/>
      <c r="F42" s="28"/>
      <c r="G42" s="28"/>
      <c r="H42" s="29"/>
      <c r="I42" s="28"/>
      <c r="J42" s="28"/>
      <c r="K42" s="28"/>
      <c r="L42" s="28"/>
      <c r="M42" s="28" t="s">
        <v>34</v>
      </c>
      <c r="N42" s="28"/>
      <c r="O42" s="28"/>
      <c r="P42" s="28"/>
    </row>
    <row r="43" spans="1:16" x14ac:dyDescent="0.25">
      <c r="A43" s="28"/>
      <c r="B43" s="41" t="s">
        <v>154</v>
      </c>
      <c r="C43" s="41"/>
      <c r="D43" s="41"/>
      <c r="E43" s="41"/>
      <c r="F43" s="41"/>
      <c r="G43" s="41"/>
      <c r="H43" s="41"/>
      <c r="I43" s="41"/>
      <c r="J43" s="41"/>
      <c r="K43" s="41"/>
      <c r="M43" s="28"/>
      <c r="N43" s="28"/>
      <c r="O43" s="28"/>
      <c r="P43" s="28"/>
    </row>
    <row r="44" spans="1:16" x14ac:dyDescent="0.25">
      <c r="B44" s="41" t="s">
        <v>155</v>
      </c>
      <c r="C44" s="41"/>
      <c r="D44" s="41"/>
      <c r="E44" s="41"/>
      <c r="F44" s="41"/>
      <c r="G44" s="41"/>
      <c r="H44" s="41"/>
      <c r="I44" s="41"/>
      <c r="J44" s="41"/>
      <c r="K44" s="41"/>
    </row>
    <row r="45" spans="1:16" x14ac:dyDescent="0.25">
      <c r="B45" s="22" t="s">
        <v>157</v>
      </c>
      <c r="C45" s="28"/>
      <c r="D45" s="28"/>
      <c r="E45" s="28"/>
      <c r="F45" s="28"/>
      <c r="G45" s="28"/>
      <c r="H45" s="29"/>
      <c r="I45" s="28"/>
      <c r="J45" s="41"/>
      <c r="K45" s="28"/>
    </row>
  </sheetData>
  <phoneticPr fontId="0" type="noConversion"/>
  <pageMargins left="0.7" right="0.7" top="0.75" bottom="0.75" header="0.3" footer="0.3"/>
  <pageSetup scale="70" orientation="landscape" verticalDpi="597"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6:S47"/>
  <sheetViews>
    <sheetView zoomScale="90" zoomScaleNormal="90" workbookViewId="0"/>
  </sheetViews>
  <sheetFormatPr defaultRowHeight="15" x14ac:dyDescent="0.25"/>
  <cols>
    <col min="2" max="2" width="11.7109375" customWidth="1"/>
  </cols>
  <sheetData>
    <row r="6" spans="1:16" x14ac:dyDescent="0.25">
      <c r="A6" s="7" t="s">
        <v>12</v>
      </c>
      <c r="B6" s="8"/>
      <c r="C6" s="8"/>
      <c r="D6" s="8"/>
      <c r="E6" s="8"/>
      <c r="F6" s="8"/>
      <c r="G6" s="8"/>
      <c r="H6" s="8"/>
      <c r="I6" s="25"/>
      <c r="J6" s="8"/>
      <c r="K6" s="8"/>
      <c r="L6" s="8"/>
      <c r="M6" s="8"/>
      <c r="N6" s="8"/>
      <c r="O6" s="8"/>
      <c r="P6" s="8"/>
    </row>
    <row r="7" spans="1:16" x14ac:dyDescent="0.25">
      <c r="A7" s="9" t="s">
        <v>13</v>
      </c>
      <c r="B7" s="9">
        <v>40863</v>
      </c>
      <c r="C7" s="8"/>
      <c r="D7" s="8"/>
      <c r="E7" s="8"/>
      <c r="F7" s="8"/>
      <c r="G7" s="8"/>
      <c r="H7" s="8"/>
      <c r="I7" s="25"/>
      <c r="J7" s="8"/>
      <c r="K7" s="8"/>
      <c r="L7" s="8"/>
      <c r="M7" s="8"/>
      <c r="N7" s="8"/>
      <c r="O7" s="8"/>
      <c r="P7" s="8"/>
    </row>
    <row r="8" spans="1:16" x14ac:dyDescent="0.25">
      <c r="A8" s="8" t="s">
        <v>14</v>
      </c>
      <c r="B8" s="8">
        <v>2</v>
      </c>
      <c r="C8" s="28" t="s">
        <v>474</v>
      </c>
      <c r="D8" s="8"/>
      <c r="E8" s="8"/>
      <c r="F8" s="8"/>
      <c r="G8" s="8"/>
      <c r="H8" s="8"/>
      <c r="I8" s="25"/>
      <c r="J8" s="8"/>
      <c r="K8" s="8"/>
      <c r="L8" s="8"/>
      <c r="M8" s="8"/>
      <c r="N8" s="8"/>
      <c r="O8" s="8"/>
      <c r="P8" s="8"/>
    </row>
    <row r="9" spans="1:16" x14ac:dyDescent="0.25">
      <c r="A9" s="8" t="s">
        <v>15</v>
      </c>
      <c r="B9" s="8">
        <v>7</v>
      </c>
      <c r="C9" s="19" t="s">
        <v>34</v>
      </c>
      <c r="D9" s="8"/>
      <c r="E9" s="8"/>
      <c r="F9" s="8"/>
      <c r="G9" s="8"/>
      <c r="H9" s="8"/>
      <c r="I9" s="25"/>
      <c r="J9" s="8"/>
      <c r="K9" s="8"/>
      <c r="L9" s="8"/>
      <c r="M9" s="8"/>
      <c r="N9" s="8"/>
      <c r="O9" s="8"/>
      <c r="P9" s="8"/>
    </row>
    <row r="10" spans="1:16" x14ac:dyDescent="0.25">
      <c r="A10" s="8" t="s">
        <v>16</v>
      </c>
      <c r="B10" s="87">
        <v>2000</v>
      </c>
      <c r="C10" s="31" t="s">
        <v>43</v>
      </c>
      <c r="D10" s="8"/>
      <c r="E10" s="8"/>
      <c r="F10" s="8"/>
      <c r="G10" s="8"/>
      <c r="H10" s="8"/>
      <c r="I10" s="25"/>
      <c r="J10" s="8"/>
      <c r="K10" s="8" t="s">
        <v>34</v>
      </c>
      <c r="L10" s="8"/>
      <c r="M10" s="8"/>
      <c r="N10" s="8"/>
      <c r="O10" s="8"/>
      <c r="P10" s="8"/>
    </row>
    <row r="11" spans="1:16" x14ac:dyDescent="0.25">
      <c r="A11" s="8"/>
      <c r="B11" s="243">
        <v>200000000</v>
      </c>
      <c r="C11" s="31" t="s">
        <v>58</v>
      </c>
      <c r="D11" s="8"/>
      <c r="E11" s="8"/>
      <c r="F11" s="8"/>
      <c r="G11" s="8"/>
      <c r="H11" s="8"/>
      <c r="I11" s="25"/>
      <c r="J11" s="28" t="s">
        <v>34</v>
      </c>
      <c r="K11" s="8"/>
      <c r="L11" s="8"/>
      <c r="M11" s="8"/>
      <c r="N11" s="8"/>
      <c r="O11" s="8"/>
      <c r="P11" s="8"/>
    </row>
    <row r="12" spans="1:16" x14ac:dyDescent="0.25">
      <c r="A12" s="8"/>
      <c r="B12" s="87">
        <v>95</v>
      </c>
      <c r="C12" s="31" t="s">
        <v>44</v>
      </c>
      <c r="D12" s="8"/>
      <c r="E12" s="8"/>
      <c r="F12" s="8"/>
      <c r="G12" s="8"/>
      <c r="H12" s="8"/>
      <c r="I12" s="25"/>
      <c r="J12" s="8"/>
      <c r="K12" s="8"/>
      <c r="L12" s="8"/>
      <c r="M12" s="8"/>
      <c r="N12" s="8"/>
      <c r="O12" s="8"/>
      <c r="P12" s="8"/>
    </row>
    <row r="13" spans="1:16" x14ac:dyDescent="0.25">
      <c r="A13" s="8"/>
      <c r="B13" s="31">
        <v>6</v>
      </c>
      <c r="C13" s="28" t="s">
        <v>697</v>
      </c>
      <c r="D13" s="8"/>
      <c r="E13" s="8"/>
      <c r="F13" s="8"/>
      <c r="G13" s="8"/>
      <c r="H13" s="8"/>
      <c r="I13" s="25"/>
      <c r="J13" s="8"/>
      <c r="K13" s="8"/>
      <c r="L13" s="8"/>
      <c r="M13" s="8"/>
      <c r="N13" s="8"/>
      <c r="O13" s="8"/>
      <c r="P13" s="8"/>
    </row>
    <row r="14" spans="1:16" x14ac:dyDescent="0.25">
      <c r="A14" s="8"/>
      <c r="B14" s="31">
        <v>100</v>
      </c>
      <c r="C14" s="87" t="s">
        <v>696</v>
      </c>
      <c r="D14" s="8"/>
      <c r="E14" s="8"/>
      <c r="F14" s="8"/>
      <c r="G14" s="8"/>
      <c r="H14" s="8"/>
      <c r="I14" s="25"/>
      <c r="J14" s="8"/>
      <c r="K14" s="8"/>
      <c r="L14" s="8"/>
      <c r="M14" s="8"/>
      <c r="N14" s="8"/>
      <c r="O14" s="8"/>
      <c r="P14" s="8"/>
    </row>
    <row r="15" spans="1:16" x14ac:dyDescent="0.25">
      <c r="A15" s="8"/>
      <c r="B15" s="31">
        <v>0</v>
      </c>
      <c r="C15" s="87" t="s">
        <v>698</v>
      </c>
      <c r="D15" s="8"/>
      <c r="E15" s="8"/>
      <c r="F15" s="8"/>
      <c r="G15" s="8"/>
      <c r="H15" s="8"/>
      <c r="I15" s="25"/>
      <c r="J15" s="8"/>
      <c r="K15" s="8"/>
      <c r="L15" s="8"/>
      <c r="M15" s="8"/>
      <c r="N15" s="8"/>
      <c r="O15" s="8"/>
      <c r="P15" s="8"/>
    </row>
    <row r="16" spans="1:16" x14ac:dyDescent="0.25">
      <c r="A16" s="8"/>
      <c r="B16" s="232">
        <f>(B12*B13/100*1000)/(B10+B12-B14+B15)*1000</f>
        <v>2857.1428571428573</v>
      </c>
      <c r="C16" s="28" t="s">
        <v>700</v>
      </c>
      <c r="D16" s="8"/>
      <c r="E16" s="8"/>
      <c r="F16" s="8"/>
      <c r="G16" s="8"/>
      <c r="H16" s="8"/>
      <c r="I16" s="25"/>
      <c r="J16" s="8"/>
      <c r="K16" s="8"/>
      <c r="L16" s="8"/>
      <c r="M16" s="8"/>
      <c r="N16" s="8"/>
      <c r="O16" s="8"/>
      <c r="P16" s="8"/>
    </row>
    <row r="17" spans="1:19" ht="15.75" thickBot="1" x14ac:dyDescent="0.3">
      <c r="A17" s="8"/>
      <c r="B17" s="28"/>
      <c r="C17" s="28" t="s">
        <v>705</v>
      </c>
      <c r="D17" s="8"/>
      <c r="E17" s="8"/>
      <c r="F17" s="8"/>
      <c r="G17" s="8"/>
      <c r="H17" s="8"/>
      <c r="I17" s="25"/>
      <c r="J17" s="8"/>
      <c r="K17" s="8"/>
      <c r="L17" s="8"/>
      <c r="M17" s="8"/>
      <c r="N17" s="8"/>
      <c r="O17" s="8"/>
      <c r="P17" s="8"/>
    </row>
    <row r="18" spans="1:19" ht="90" thickBot="1" x14ac:dyDescent="0.3">
      <c r="A18" s="10" t="s">
        <v>29</v>
      </c>
      <c r="B18" s="11" t="s">
        <v>17</v>
      </c>
      <c r="C18" s="11" t="s">
        <v>30</v>
      </c>
      <c r="D18" s="11" t="s">
        <v>31</v>
      </c>
      <c r="E18" s="11" t="s">
        <v>32</v>
      </c>
      <c r="F18" s="11" t="s">
        <v>33</v>
      </c>
      <c r="G18" s="11" t="s">
        <v>18</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15">
        <v>0</v>
      </c>
      <c r="B19" s="23">
        <v>22.5</v>
      </c>
      <c r="C19" s="23">
        <v>8.85</v>
      </c>
      <c r="D19" s="23">
        <v>9.31</v>
      </c>
      <c r="E19" s="23">
        <v>0.12</v>
      </c>
      <c r="F19" s="23">
        <v>0.05</v>
      </c>
      <c r="G19" s="23">
        <v>12</v>
      </c>
      <c r="H19" s="23">
        <v>3042</v>
      </c>
      <c r="I19" s="26">
        <v>13000000</v>
      </c>
      <c r="J19" s="23">
        <v>0</v>
      </c>
      <c r="K19" s="26">
        <v>4900000</v>
      </c>
      <c r="L19" s="23" t="s">
        <v>26</v>
      </c>
      <c r="M19" s="16"/>
      <c r="N19" s="16"/>
      <c r="O19" s="17"/>
      <c r="P19" s="233">
        <f>B$16*A19</f>
        <v>0</v>
      </c>
      <c r="Q19" s="233">
        <f>6/LINEST(J19:J20,P19:P20,FALSE)</f>
        <v>13392.857142857143</v>
      </c>
      <c r="R19" s="233">
        <f>Q19/3000</f>
        <v>4.4642857142857144</v>
      </c>
      <c r="S19" s="233">
        <f>(J26/LINEST($J19:$J20,$P19:$P20,FALSE))/$B$16</f>
        <v>5.5625</v>
      </c>
    </row>
    <row r="20" spans="1:19" ht="15.75" thickBot="1" x14ac:dyDescent="0.3">
      <c r="A20" s="15">
        <v>3</v>
      </c>
      <c r="B20" s="24">
        <v>22.7</v>
      </c>
      <c r="C20" s="24">
        <v>8.7100000000000009</v>
      </c>
      <c r="D20" s="24">
        <v>10.130000000000001</v>
      </c>
      <c r="E20" s="24">
        <v>2500</v>
      </c>
      <c r="F20" s="24">
        <v>0.36</v>
      </c>
      <c r="G20" s="24">
        <v>13</v>
      </c>
      <c r="H20" s="24">
        <v>2988</v>
      </c>
      <c r="I20" s="26">
        <v>1900</v>
      </c>
      <c r="J20" s="24">
        <v>3.84</v>
      </c>
      <c r="K20" s="24">
        <v>0</v>
      </c>
      <c r="L20" s="24" t="s">
        <v>48</v>
      </c>
      <c r="M20" s="17"/>
      <c r="N20" s="17"/>
      <c r="O20" s="17"/>
      <c r="P20" s="233">
        <f>B$16*A20</f>
        <v>8571.4285714285725</v>
      </c>
    </row>
    <row r="21" spans="1:19" ht="15.75" thickBot="1" x14ac:dyDescent="0.3">
      <c r="A21" s="15">
        <v>5</v>
      </c>
      <c r="B21" s="24">
        <v>22.7</v>
      </c>
      <c r="C21" s="24">
        <v>8.7100000000000009</v>
      </c>
      <c r="D21" s="24">
        <v>10.15</v>
      </c>
      <c r="E21" s="24">
        <v>2500</v>
      </c>
      <c r="F21" s="24">
        <v>0.09</v>
      </c>
      <c r="G21" s="24">
        <v>13</v>
      </c>
      <c r="H21" s="24">
        <v>2973</v>
      </c>
      <c r="I21" s="24">
        <v>0</v>
      </c>
      <c r="J21" s="24" t="s">
        <v>47</v>
      </c>
      <c r="K21" s="24">
        <v>0</v>
      </c>
      <c r="L21" s="24" t="s">
        <v>48</v>
      </c>
      <c r="M21" s="17"/>
      <c r="N21" s="17"/>
      <c r="O21" s="17"/>
      <c r="P21" s="233"/>
    </row>
    <row r="22" spans="1:19" ht="15.75" thickBot="1" x14ac:dyDescent="0.3">
      <c r="A22" s="15">
        <v>10</v>
      </c>
      <c r="B22" s="24">
        <v>22.8</v>
      </c>
      <c r="C22" s="24">
        <v>8.8000000000000007</v>
      </c>
      <c r="D22" s="24">
        <v>10.130000000000001</v>
      </c>
      <c r="E22" s="24">
        <v>3100</v>
      </c>
      <c r="F22" s="24">
        <v>0.17</v>
      </c>
      <c r="G22" s="24">
        <v>8</v>
      </c>
      <c r="H22" s="24">
        <v>2970</v>
      </c>
      <c r="I22" s="24">
        <v>0</v>
      </c>
      <c r="J22" s="24" t="s">
        <v>47</v>
      </c>
      <c r="K22" s="24">
        <v>0</v>
      </c>
      <c r="L22" s="24" t="s">
        <v>48</v>
      </c>
      <c r="M22" s="17"/>
      <c r="N22" s="17"/>
      <c r="O22" s="17"/>
      <c r="P22" s="233"/>
    </row>
    <row r="23" spans="1:19" ht="15.75" thickBot="1" x14ac:dyDescent="0.3">
      <c r="A23" s="15">
        <v>15</v>
      </c>
      <c r="B23" s="24">
        <v>22.9</v>
      </c>
      <c r="C23" s="24">
        <v>8.8000000000000007</v>
      </c>
      <c r="D23" s="24">
        <v>10.16</v>
      </c>
      <c r="E23" s="24">
        <v>2600</v>
      </c>
      <c r="F23" s="24">
        <v>0.25</v>
      </c>
      <c r="G23" s="24">
        <v>8</v>
      </c>
      <c r="H23" s="24">
        <v>2850</v>
      </c>
      <c r="I23" s="24">
        <v>0</v>
      </c>
      <c r="J23" s="24" t="s">
        <v>47</v>
      </c>
      <c r="K23" s="24">
        <v>0</v>
      </c>
      <c r="L23" s="24" t="s">
        <v>48</v>
      </c>
      <c r="M23" s="17"/>
      <c r="N23" s="17"/>
      <c r="O23" s="17"/>
      <c r="P23" s="233"/>
    </row>
    <row r="24" spans="1:19" ht="15.75" thickBot="1" x14ac:dyDescent="0.3">
      <c r="A24" s="15">
        <v>30</v>
      </c>
      <c r="B24" s="24">
        <v>23.8</v>
      </c>
      <c r="C24" s="24">
        <v>8.77</v>
      </c>
      <c r="D24" s="24">
        <v>10.19</v>
      </c>
      <c r="E24" s="24">
        <v>2700</v>
      </c>
      <c r="F24" s="24">
        <v>0.15</v>
      </c>
      <c r="G24" s="24">
        <v>8</v>
      </c>
      <c r="H24" s="24">
        <v>2583</v>
      </c>
      <c r="I24" s="24">
        <v>0</v>
      </c>
      <c r="J24" s="24" t="s">
        <v>47</v>
      </c>
      <c r="K24" s="24">
        <v>0</v>
      </c>
      <c r="L24" s="24" t="s">
        <v>48</v>
      </c>
      <c r="M24" s="18">
        <v>121.7</v>
      </c>
      <c r="N24" s="18">
        <v>16365</v>
      </c>
      <c r="O24" s="18">
        <v>5672</v>
      </c>
      <c r="P24" s="233"/>
    </row>
    <row r="25" spans="1:19" ht="15.75" thickBot="1" x14ac:dyDescent="0.3">
      <c r="A25" s="32" t="s">
        <v>40</v>
      </c>
      <c r="B25" s="24">
        <v>23.8</v>
      </c>
      <c r="C25" s="24">
        <v>8.77</v>
      </c>
      <c r="D25" s="24" t="s">
        <v>35</v>
      </c>
      <c r="E25" s="24">
        <v>2600</v>
      </c>
      <c r="F25" s="24" t="s">
        <v>35</v>
      </c>
      <c r="G25" s="24">
        <v>8</v>
      </c>
      <c r="H25" s="24">
        <v>2871</v>
      </c>
      <c r="I25" s="24">
        <v>0</v>
      </c>
      <c r="J25" s="24" t="s">
        <v>47</v>
      </c>
      <c r="K25" s="24">
        <v>0</v>
      </c>
      <c r="L25" s="24" t="s">
        <v>48</v>
      </c>
      <c r="M25" s="18">
        <v>150</v>
      </c>
      <c r="N25" s="18">
        <v>14003</v>
      </c>
      <c r="O25" s="27"/>
      <c r="P25" s="8"/>
    </row>
    <row r="26" spans="1:19" x14ac:dyDescent="0.25">
      <c r="A26" s="8"/>
      <c r="B26" s="8">
        <f>AVERAGE(B20)</f>
        <v>22.7</v>
      </c>
      <c r="C26" s="8">
        <f>AVERAGE(C20)</f>
        <v>8.7100000000000009</v>
      </c>
      <c r="D26" s="8"/>
      <c r="E26" s="8"/>
      <c r="F26" s="8"/>
      <c r="G26" s="8"/>
      <c r="H26" s="8"/>
      <c r="I26" s="25"/>
      <c r="J26" s="8">
        <v>7.12</v>
      </c>
      <c r="K26" s="8"/>
      <c r="L26" s="8"/>
      <c r="M26" s="8"/>
      <c r="N26" s="8"/>
      <c r="O26" s="8"/>
      <c r="P26" s="8"/>
    </row>
    <row r="27" spans="1:19" x14ac:dyDescent="0.25">
      <c r="A27" s="28" t="s">
        <v>140</v>
      </c>
      <c r="B27" s="8"/>
      <c r="C27" s="8"/>
      <c r="D27" s="8"/>
      <c r="E27" s="8"/>
      <c r="F27" s="8"/>
      <c r="G27" s="8"/>
      <c r="H27" s="8"/>
      <c r="I27" s="25"/>
      <c r="J27" s="8"/>
      <c r="K27" s="8"/>
      <c r="L27" s="8"/>
      <c r="M27" s="8"/>
      <c r="N27" s="28"/>
      <c r="O27" s="8"/>
      <c r="P27" s="8"/>
    </row>
    <row r="28" spans="1:19" x14ac:dyDescent="0.25">
      <c r="A28" s="28"/>
      <c r="B28" s="28" t="s">
        <v>141</v>
      </c>
      <c r="C28" s="8"/>
      <c r="D28" s="8"/>
      <c r="E28" s="8"/>
      <c r="F28" s="8"/>
      <c r="G28" s="8"/>
      <c r="H28" s="8"/>
      <c r="I28" s="25"/>
      <c r="J28" s="8"/>
      <c r="K28" s="8"/>
      <c r="L28" s="8"/>
      <c r="M28" s="8"/>
      <c r="N28" s="28"/>
      <c r="O28" s="8"/>
      <c r="P28" s="8"/>
    </row>
    <row r="29" spans="1:19" x14ac:dyDescent="0.25">
      <c r="A29" s="8" t="s">
        <v>27</v>
      </c>
      <c r="B29" s="8"/>
      <c r="C29" s="8"/>
      <c r="D29" s="8"/>
      <c r="E29" s="8"/>
      <c r="F29" s="8"/>
      <c r="G29" s="8"/>
      <c r="H29" s="8"/>
      <c r="I29" s="25"/>
      <c r="J29" s="8"/>
      <c r="K29" s="8"/>
      <c r="L29" s="8"/>
      <c r="M29" s="8"/>
      <c r="N29" s="8"/>
      <c r="O29" s="8"/>
      <c r="P29" s="8"/>
    </row>
    <row r="30" spans="1:19" x14ac:dyDescent="0.25">
      <c r="F30" s="8"/>
      <c r="G30" s="8"/>
      <c r="H30" s="8"/>
      <c r="I30" s="25"/>
      <c r="J30" s="8"/>
      <c r="K30" s="8"/>
      <c r="L30" s="8"/>
      <c r="M30" s="8"/>
      <c r="N30" s="8"/>
      <c r="O30" s="8"/>
      <c r="P30" s="8"/>
    </row>
    <row r="31" spans="1:19" x14ac:dyDescent="0.25">
      <c r="A31" s="8"/>
      <c r="B31" s="8"/>
      <c r="C31" s="8"/>
      <c r="D31" s="8"/>
      <c r="E31" s="8"/>
      <c r="F31" s="8"/>
      <c r="G31" s="8"/>
      <c r="H31" s="8"/>
      <c r="I31" s="25"/>
      <c r="J31" s="8"/>
      <c r="K31" s="8"/>
      <c r="L31" s="8"/>
      <c r="M31" s="8"/>
      <c r="N31" s="8"/>
      <c r="O31" s="8"/>
      <c r="P31" s="8"/>
    </row>
    <row r="32" spans="1:19" x14ac:dyDescent="0.25">
      <c r="A32" s="19" t="s">
        <v>28</v>
      </c>
      <c r="B32" s="8"/>
      <c r="C32" s="8"/>
      <c r="D32" s="8"/>
      <c r="E32" s="8"/>
      <c r="F32" s="8"/>
      <c r="G32" s="8"/>
      <c r="H32" s="8"/>
      <c r="I32" s="25"/>
      <c r="J32" s="8"/>
      <c r="K32" s="8"/>
      <c r="L32" s="8"/>
      <c r="M32" s="8"/>
      <c r="N32" s="8"/>
      <c r="O32" s="8"/>
      <c r="P32" s="8"/>
    </row>
    <row r="33" spans="1:16" x14ac:dyDescent="0.25">
      <c r="A33" s="8"/>
      <c r="B33" s="22"/>
      <c r="C33" s="8"/>
      <c r="D33" s="8"/>
      <c r="E33" s="8"/>
      <c r="F33" s="8"/>
      <c r="G33" s="8"/>
      <c r="H33" s="8"/>
      <c r="I33" s="25"/>
      <c r="J33" s="8"/>
      <c r="K33" s="8"/>
      <c r="L33" s="8"/>
      <c r="M33" s="8"/>
      <c r="N33" s="8"/>
      <c r="O33" s="8"/>
      <c r="P33" s="8"/>
    </row>
    <row r="34" spans="1:16" x14ac:dyDescent="0.25">
      <c r="A34" s="8"/>
      <c r="B34" s="22" t="s">
        <v>128</v>
      </c>
      <c r="C34" s="8"/>
      <c r="D34" s="8"/>
      <c r="E34" s="8"/>
      <c r="F34" s="8"/>
      <c r="G34" s="8"/>
      <c r="H34" s="8"/>
      <c r="I34" s="25"/>
      <c r="J34" s="8"/>
      <c r="K34" s="8"/>
      <c r="L34" s="8"/>
      <c r="M34" s="8"/>
      <c r="N34" s="8" t="s">
        <v>34</v>
      </c>
      <c r="O34" s="8"/>
      <c r="P34" s="8"/>
    </row>
    <row r="35" spans="1:16" x14ac:dyDescent="0.25">
      <c r="A35" s="8"/>
      <c r="B35" s="22" t="s">
        <v>135</v>
      </c>
      <c r="C35" s="8"/>
      <c r="D35" s="8"/>
      <c r="E35" s="8"/>
      <c r="F35" s="8"/>
      <c r="G35" s="8"/>
      <c r="H35" s="8"/>
      <c r="I35" s="25"/>
      <c r="J35" s="8"/>
      <c r="K35" s="8"/>
      <c r="L35" s="8"/>
      <c r="M35" s="8"/>
      <c r="N35" s="8"/>
      <c r="O35" s="8"/>
      <c r="P35" s="8"/>
    </row>
    <row r="36" spans="1:16" x14ac:dyDescent="0.25">
      <c r="A36" s="8"/>
      <c r="B36" s="20" t="s">
        <v>36</v>
      </c>
      <c r="C36" s="8"/>
      <c r="D36" s="8"/>
      <c r="E36" s="8"/>
      <c r="F36" s="8"/>
      <c r="G36" s="8"/>
      <c r="H36" s="8"/>
      <c r="I36" s="25"/>
      <c r="J36" s="8"/>
      <c r="K36" s="8"/>
      <c r="L36" s="8"/>
      <c r="M36" s="8"/>
      <c r="N36" s="8"/>
      <c r="O36" s="8"/>
      <c r="P36" s="8"/>
    </row>
    <row r="37" spans="1:16" x14ac:dyDescent="0.25">
      <c r="A37" s="8"/>
      <c r="B37" s="22" t="s">
        <v>133</v>
      </c>
      <c r="L37" s="8"/>
      <c r="M37" s="8"/>
      <c r="N37" s="8"/>
      <c r="O37" s="8"/>
      <c r="P37" s="8"/>
    </row>
    <row r="38" spans="1:16" x14ac:dyDescent="0.25">
      <c r="A38" s="8"/>
      <c r="B38" s="22"/>
      <c r="L38" s="8"/>
      <c r="M38" s="8"/>
      <c r="N38" s="8" t="s">
        <v>34</v>
      </c>
      <c r="O38" s="8"/>
      <c r="P38" s="8"/>
    </row>
    <row r="39" spans="1:16" x14ac:dyDescent="0.25">
      <c r="A39" s="8"/>
      <c r="B39" s="22" t="s">
        <v>49</v>
      </c>
      <c r="C39" s="21"/>
      <c r="D39" s="21"/>
      <c r="E39" s="8"/>
      <c r="F39" s="8"/>
      <c r="G39" s="8"/>
      <c r="H39" s="8"/>
      <c r="I39" s="25"/>
      <c r="J39" s="8"/>
      <c r="K39" s="8"/>
      <c r="L39" s="8"/>
      <c r="M39" s="8"/>
      <c r="N39" s="8"/>
      <c r="O39" s="8"/>
      <c r="P39" s="8"/>
    </row>
    <row r="40" spans="1:16" x14ac:dyDescent="0.25">
      <c r="A40" s="8"/>
      <c r="B40" s="37" t="s">
        <v>136</v>
      </c>
      <c r="C40" s="21"/>
      <c r="D40" s="8"/>
      <c r="E40" s="8"/>
      <c r="F40" s="8"/>
      <c r="G40" s="8"/>
      <c r="H40" s="25"/>
      <c r="I40" s="8"/>
      <c r="J40" s="8"/>
      <c r="K40" s="8"/>
      <c r="M40" s="8"/>
      <c r="N40" s="8"/>
      <c r="O40" s="8"/>
      <c r="P40" s="8"/>
    </row>
    <row r="41" spans="1:16" x14ac:dyDescent="0.25">
      <c r="A41" s="8"/>
      <c r="B41" s="22" t="s">
        <v>137</v>
      </c>
      <c r="C41" s="8"/>
      <c r="D41" s="8"/>
      <c r="E41" s="8"/>
      <c r="F41" s="8"/>
      <c r="G41" s="8"/>
      <c r="H41" s="8"/>
      <c r="I41" s="25"/>
      <c r="J41" s="8"/>
      <c r="K41" s="8"/>
      <c r="M41" s="8" t="s">
        <v>34</v>
      </c>
      <c r="N41" s="8"/>
      <c r="O41" s="8"/>
      <c r="P41" s="8"/>
    </row>
    <row r="42" spans="1:16" x14ac:dyDescent="0.25">
      <c r="L42" s="8"/>
      <c r="M42" s="8"/>
      <c r="N42" s="8"/>
      <c r="O42" s="8"/>
      <c r="P42" s="8"/>
    </row>
    <row r="43" spans="1:16" x14ac:dyDescent="0.25">
      <c r="A43" s="8"/>
      <c r="B43" s="41" t="s">
        <v>154</v>
      </c>
      <c r="C43" s="41"/>
      <c r="D43" s="41"/>
      <c r="E43" s="41"/>
      <c r="F43" s="41"/>
      <c r="G43" s="41"/>
      <c r="H43" s="41"/>
      <c r="I43" s="41"/>
      <c r="J43" s="41"/>
      <c r="K43" s="41"/>
      <c r="M43" s="8"/>
      <c r="N43" s="8"/>
      <c r="O43" s="8"/>
      <c r="P43" s="8"/>
    </row>
    <row r="44" spans="1:16" x14ac:dyDescent="0.25">
      <c r="A44" s="8"/>
      <c r="B44" s="41" t="s">
        <v>155</v>
      </c>
      <c r="C44" s="41"/>
      <c r="D44" s="41"/>
      <c r="E44" s="41"/>
      <c r="F44" s="41"/>
      <c r="G44" s="41"/>
      <c r="H44" s="41"/>
      <c r="I44" s="41"/>
      <c r="J44" s="41"/>
      <c r="K44" s="41"/>
      <c r="M44" s="8"/>
      <c r="N44" s="8"/>
      <c r="O44" s="8"/>
      <c r="P44" s="8"/>
    </row>
    <row r="45" spans="1:16" x14ac:dyDescent="0.25">
      <c r="B45" s="22" t="s">
        <v>157</v>
      </c>
      <c r="C45" s="28"/>
      <c r="D45" s="28"/>
      <c r="E45" s="28"/>
      <c r="F45" s="28"/>
      <c r="G45" s="28"/>
      <c r="H45" s="29"/>
      <c r="I45" s="28"/>
      <c r="J45" s="41"/>
      <c r="K45" s="28"/>
    </row>
    <row r="46" spans="1:16" x14ac:dyDescent="0.25">
      <c r="B46" s="22"/>
      <c r="C46" s="8"/>
      <c r="D46" s="8"/>
      <c r="E46" s="8"/>
      <c r="F46" s="8"/>
      <c r="G46" s="8"/>
      <c r="H46" s="8"/>
      <c r="I46" s="25"/>
      <c r="J46" s="8"/>
      <c r="K46" s="8"/>
      <c r="N46" t="s">
        <v>34</v>
      </c>
    </row>
    <row r="47" spans="1:16" x14ac:dyDescent="0.25">
      <c r="B47" s="22"/>
    </row>
  </sheetData>
  <phoneticPr fontId="0" type="noConversion"/>
  <pageMargins left="0.7" right="0.7" top="0.75" bottom="0.75" header="0.3" footer="0.3"/>
  <pageSetup scale="69" orientation="landscape" verticalDpi="597"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6:S45"/>
  <sheetViews>
    <sheetView zoomScale="90" zoomScaleNormal="90" workbookViewId="0"/>
  </sheetViews>
  <sheetFormatPr defaultRowHeight="15" x14ac:dyDescent="0.25"/>
  <cols>
    <col min="2" max="2" width="10" customWidth="1"/>
  </cols>
  <sheetData>
    <row r="6" spans="1:16" x14ac:dyDescent="0.25">
      <c r="A6" s="7" t="s">
        <v>12</v>
      </c>
      <c r="B6" s="28"/>
      <c r="C6" s="28"/>
      <c r="D6" s="28"/>
      <c r="E6" s="28"/>
      <c r="F6" s="28"/>
      <c r="G6" s="28"/>
      <c r="H6" s="28"/>
      <c r="I6" s="29"/>
      <c r="J6" s="28"/>
      <c r="K6" s="28"/>
      <c r="L6" s="28"/>
      <c r="M6" s="28"/>
      <c r="N6" s="28"/>
      <c r="O6" s="28"/>
      <c r="P6" s="28"/>
    </row>
    <row r="7" spans="1:16" x14ac:dyDescent="0.25">
      <c r="A7" s="30" t="s">
        <v>13</v>
      </c>
      <c r="B7" s="30">
        <v>40883</v>
      </c>
      <c r="C7" s="28"/>
      <c r="D7" s="28"/>
      <c r="E7" s="28"/>
      <c r="F7" s="28"/>
      <c r="G7" s="28"/>
      <c r="H7" s="28"/>
      <c r="I7" s="29"/>
      <c r="J7" s="28"/>
      <c r="K7" s="28"/>
      <c r="L7" s="28"/>
      <c r="M7" s="28"/>
      <c r="N7" s="28"/>
      <c r="O7" s="28"/>
      <c r="P7" s="28"/>
    </row>
    <row r="8" spans="1:16" x14ac:dyDescent="0.25">
      <c r="A8" s="28" t="s">
        <v>14</v>
      </c>
      <c r="B8" s="28">
        <v>5</v>
      </c>
      <c r="C8" s="28" t="s">
        <v>475</v>
      </c>
      <c r="D8" s="28"/>
      <c r="E8" s="28"/>
      <c r="F8" s="28"/>
      <c r="G8" s="28"/>
      <c r="H8" s="28"/>
      <c r="I8" s="29"/>
      <c r="J8" s="28"/>
      <c r="K8" s="28"/>
      <c r="L8" s="28"/>
      <c r="M8" s="28"/>
      <c r="N8" s="28"/>
      <c r="O8" s="28"/>
      <c r="P8" s="28"/>
    </row>
    <row r="9" spans="1:16" x14ac:dyDescent="0.25">
      <c r="A9" s="8" t="s">
        <v>15</v>
      </c>
      <c r="B9" s="8">
        <v>7</v>
      </c>
      <c r="C9" s="19" t="s">
        <v>126</v>
      </c>
      <c r="D9" s="8"/>
      <c r="E9" s="8"/>
      <c r="F9" s="8"/>
      <c r="G9" s="8"/>
      <c r="H9" s="8"/>
      <c r="I9" s="25"/>
      <c r="J9" s="8"/>
      <c r="K9" s="8"/>
      <c r="L9" s="8"/>
      <c r="M9" s="8"/>
      <c r="N9" s="8"/>
      <c r="O9" s="8"/>
      <c r="P9" s="8"/>
    </row>
    <row r="10" spans="1:16" x14ac:dyDescent="0.25">
      <c r="A10" s="28" t="s">
        <v>16</v>
      </c>
      <c r="B10" s="87">
        <v>2000</v>
      </c>
      <c r="C10" s="31" t="s">
        <v>43</v>
      </c>
      <c r="D10" s="28"/>
      <c r="E10" s="28"/>
      <c r="F10" s="28"/>
      <c r="G10" s="28" t="s">
        <v>34</v>
      </c>
      <c r="H10" s="28"/>
      <c r="I10" s="29"/>
      <c r="J10" s="28" t="s">
        <v>34</v>
      </c>
      <c r="K10" s="28" t="s">
        <v>34</v>
      </c>
      <c r="L10" s="28"/>
      <c r="M10" s="28" t="s">
        <v>34</v>
      </c>
      <c r="N10" s="28"/>
      <c r="O10" s="28"/>
      <c r="P10" s="28"/>
    </row>
    <row r="11" spans="1:16" x14ac:dyDescent="0.25">
      <c r="A11" s="28"/>
      <c r="B11" s="243">
        <v>200000000</v>
      </c>
      <c r="C11" s="31" t="s">
        <v>58</v>
      </c>
      <c r="D11" s="28"/>
      <c r="E11" s="28"/>
      <c r="F11" s="28"/>
      <c r="G11" s="28"/>
      <c r="H11" s="28"/>
      <c r="I11" s="29"/>
      <c r="J11" s="28"/>
      <c r="K11" s="28"/>
      <c r="L11" s="28"/>
      <c r="M11" s="28"/>
      <c r="N11" s="28"/>
      <c r="O11" s="28"/>
      <c r="P11" s="28"/>
    </row>
    <row r="12" spans="1:16" x14ac:dyDescent="0.25">
      <c r="A12" s="28"/>
      <c r="B12" s="87">
        <v>95</v>
      </c>
      <c r="C12" s="31" t="s">
        <v>44</v>
      </c>
      <c r="D12" s="28"/>
      <c r="E12" s="28"/>
      <c r="F12" s="28"/>
      <c r="G12" s="28"/>
      <c r="H12" s="28"/>
      <c r="I12" s="29"/>
      <c r="J12" s="28"/>
      <c r="K12" s="28"/>
      <c r="L12" s="28"/>
      <c r="M12" s="28" t="s">
        <v>34</v>
      </c>
      <c r="N12" s="28"/>
      <c r="O12" s="28"/>
      <c r="P12" s="28"/>
    </row>
    <row r="13" spans="1:16" x14ac:dyDescent="0.25">
      <c r="A13" s="28"/>
      <c r="B13" s="31">
        <v>6</v>
      </c>
      <c r="C13" s="28" t="s">
        <v>697</v>
      </c>
      <c r="D13" s="28"/>
      <c r="E13" s="28"/>
      <c r="F13" s="28"/>
      <c r="G13" s="28"/>
      <c r="H13" s="28"/>
      <c r="I13" s="242"/>
      <c r="J13" s="28"/>
      <c r="K13" s="28"/>
      <c r="L13" s="28"/>
      <c r="M13" s="28"/>
      <c r="N13" s="28"/>
      <c r="O13" s="28"/>
      <c r="P13" s="28"/>
    </row>
    <row r="14" spans="1:16" x14ac:dyDescent="0.25">
      <c r="A14" s="28"/>
      <c r="B14" s="31">
        <v>100</v>
      </c>
      <c r="C14" s="87" t="s">
        <v>696</v>
      </c>
      <c r="D14" s="28"/>
      <c r="E14" s="28"/>
      <c r="F14" s="28"/>
      <c r="G14" s="28"/>
      <c r="H14" s="28"/>
      <c r="I14" s="242"/>
      <c r="J14" s="28"/>
      <c r="K14" s="28"/>
      <c r="L14" s="28"/>
      <c r="M14" s="28"/>
      <c r="N14" s="28"/>
      <c r="O14" s="28"/>
      <c r="P14" s="28"/>
    </row>
    <row r="15" spans="1:16" x14ac:dyDescent="0.25">
      <c r="A15" s="28"/>
      <c r="B15" s="31">
        <v>0</v>
      </c>
      <c r="C15" s="87" t="s">
        <v>698</v>
      </c>
      <c r="D15" s="28"/>
      <c r="E15" s="28"/>
      <c r="F15" s="28"/>
      <c r="G15" s="28"/>
      <c r="H15" s="28"/>
      <c r="I15" s="242"/>
      <c r="J15" s="28"/>
      <c r="K15" s="28"/>
      <c r="L15" s="28"/>
      <c r="M15" s="28"/>
      <c r="N15" s="28"/>
      <c r="O15" s="28"/>
      <c r="P15" s="28"/>
    </row>
    <row r="16" spans="1:16" x14ac:dyDescent="0.25">
      <c r="A16" s="28"/>
      <c r="B16" s="232">
        <f>(B12*B13/100*1000)/(B10+B12-B14+B15)*1000</f>
        <v>2857.1428571428573</v>
      </c>
      <c r="C16" s="28" t="s">
        <v>700</v>
      </c>
      <c r="D16" s="28"/>
      <c r="E16" s="28"/>
      <c r="F16" s="28"/>
      <c r="G16" s="28"/>
      <c r="H16" s="28"/>
      <c r="I16" s="242"/>
      <c r="J16" s="28"/>
      <c r="K16" s="28"/>
      <c r="L16" s="28"/>
      <c r="M16" s="28"/>
      <c r="N16" s="28"/>
      <c r="O16" s="28"/>
      <c r="P16" s="28"/>
    </row>
    <row r="17" spans="1:19" ht="15.75" thickBot="1" x14ac:dyDescent="0.3">
      <c r="A17" s="28"/>
      <c r="B17" s="28"/>
      <c r="C17" s="28" t="s">
        <v>705</v>
      </c>
      <c r="D17" s="28"/>
      <c r="E17" s="28"/>
      <c r="F17" s="28"/>
      <c r="G17" s="28"/>
      <c r="H17" s="28"/>
      <c r="I17" s="29"/>
      <c r="J17" s="28"/>
      <c r="K17" s="28"/>
      <c r="L17" s="28"/>
      <c r="M17" s="28"/>
      <c r="N17" s="28"/>
      <c r="O17" s="28"/>
      <c r="P17" s="28"/>
    </row>
    <row r="18" spans="1:19" ht="90" thickBot="1" x14ac:dyDescent="0.3">
      <c r="A18" s="10" t="s">
        <v>29</v>
      </c>
      <c r="B18" s="11" t="s">
        <v>17</v>
      </c>
      <c r="C18" s="11" t="s">
        <v>30</v>
      </c>
      <c r="D18" s="11" t="s">
        <v>31</v>
      </c>
      <c r="E18" s="11" t="s">
        <v>32</v>
      </c>
      <c r="F18" s="11" t="s">
        <v>33</v>
      </c>
      <c r="G18" s="11" t="s">
        <v>18</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21.7</v>
      </c>
      <c r="C19" s="23">
        <v>9.07</v>
      </c>
      <c r="D19" s="23">
        <v>9.31</v>
      </c>
      <c r="E19" s="23">
        <v>0.26</v>
      </c>
      <c r="F19" s="23">
        <v>0.41</v>
      </c>
      <c r="G19" s="23">
        <v>19</v>
      </c>
      <c r="H19" s="23">
        <v>3020</v>
      </c>
      <c r="I19" s="33">
        <v>14000000</v>
      </c>
      <c r="J19" s="23">
        <v>0</v>
      </c>
      <c r="K19" s="33">
        <v>18000000</v>
      </c>
      <c r="L19" s="23" t="s">
        <v>26</v>
      </c>
      <c r="M19" s="34"/>
      <c r="N19" s="34"/>
      <c r="O19" s="35"/>
      <c r="P19" s="233">
        <f>B$16*A19</f>
        <v>0</v>
      </c>
      <c r="Q19" s="233">
        <f>6/LINEST(J19:J20,P19:P20,FALSE)</f>
        <v>14325.507361719063</v>
      </c>
      <c r="R19" s="249">
        <f>Q19/3000</f>
        <v>4.7751691205730209</v>
      </c>
      <c r="S19" s="233">
        <f>(J26/LINEST($J19:$J20,$P19:$P20,FALSE))/$B$16</f>
        <v>5.974930362116992</v>
      </c>
    </row>
    <row r="20" spans="1:19" ht="15.75" thickBot="1" x14ac:dyDescent="0.3">
      <c r="A20" s="32">
        <v>3</v>
      </c>
      <c r="B20" s="24">
        <v>21.7</v>
      </c>
      <c r="C20" s="24">
        <v>9.02</v>
      </c>
      <c r="D20" s="24">
        <v>10.029999999999999</v>
      </c>
      <c r="E20" s="24">
        <v>2400</v>
      </c>
      <c r="F20" s="24">
        <v>0.19</v>
      </c>
      <c r="G20" s="24">
        <v>11</v>
      </c>
      <c r="H20" s="24">
        <v>3170</v>
      </c>
      <c r="I20" s="33">
        <v>3600</v>
      </c>
      <c r="J20" s="24">
        <v>3.59</v>
      </c>
      <c r="K20" s="24">
        <v>0</v>
      </c>
      <c r="L20" s="24" t="s">
        <v>54</v>
      </c>
      <c r="M20" s="35"/>
      <c r="N20" s="35"/>
      <c r="O20" s="35"/>
      <c r="P20" s="233">
        <f>B$16*A20</f>
        <v>8571.4285714285725</v>
      </c>
    </row>
    <row r="21" spans="1:19" ht="15.75" thickBot="1" x14ac:dyDescent="0.3">
      <c r="A21" s="32">
        <v>5</v>
      </c>
      <c r="B21" s="24">
        <v>21.7</v>
      </c>
      <c r="C21" s="24">
        <v>8.98</v>
      </c>
      <c r="D21" s="24">
        <v>9.9600000000000009</v>
      </c>
      <c r="E21" s="24">
        <v>2800</v>
      </c>
      <c r="F21" s="24">
        <v>0.35</v>
      </c>
      <c r="G21" s="24">
        <v>11</v>
      </c>
      <c r="H21" s="24">
        <v>3130</v>
      </c>
      <c r="I21" s="24">
        <v>0</v>
      </c>
      <c r="J21" s="24" t="s">
        <v>51</v>
      </c>
      <c r="K21" s="24">
        <v>0</v>
      </c>
      <c r="L21" s="24" t="s">
        <v>54</v>
      </c>
      <c r="M21" s="35"/>
      <c r="N21" s="35"/>
      <c r="O21" s="35"/>
      <c r="P21" s="233"/>
    </row>
    <row r="22" spans="1:19" ht="15.75" thickBot="1" x14ac:dyDescent="0.3">
      <c r="A22" s="32">
        <v>10</v>
      </c>
      <c r="B22" s="24">
        <v>21.8</v>
      </c>
      <c r="C22" s="24">
        <v>9</v>
      </c>
      <c r="D22" s="24">
        <v>10.08</v>
      </c>
      <c r="E22" s="24">
        <v>2700</v>
      </c>
      <c r="F22" s="24">
        <v>0.85</v>
      </c>
      <c r="G22" s="24">
        <v>12</v>
      </c>
      <c r="H22" s="24">
        <v>3190</v>
      </c>
      <c r="I22" s="24">
        <v>0</v>
      </c>
      <c r="J22" s="24" t="s">
        <v>51</v>
      </c>
      <c r="K22" s="24">
        <v>0</v>
      </c>
      <c r="L22" s="24" t="s">
        <v>54</v>
      </c>
      <c r="M22" s="35"/>
      <c r="N22" s="35"/>
      <c r="O22" s="35"/>
      <c r="P22" s="233"/>
    </row>
    <row r="23" spans="1:19" ht="15.75" thickBot="1" x14ac:dyDescent="0.3">
      <c r="A23" s="32">
        <v>15</v>
      </c>
      <c r="B23" s="24">
        <v>21.9</v>
      </c>
      <c r="C23" s="24">
        <v>8.83</v>
      </c>
      <c r="D23" s="24">
        <v>10.029999999999999</v>
      </c>
      <c r="E23" s="24">
        <v>2300</v>
      </c>
      <c r="F23" s="24">
        <v>0.14000000000000001</v>
      </c>
      <c r="G23" s="24">
        <v>12</v>
      </c>
      <c r="H23" s="24">
        <v>3360</v>
      </c>
      <c r="I23" s="24">
        <v>0</v>
      </c>
      <c r="J23" s="24" t="s">
        <v>51</v>
      </c>
      <c r="K23" s="24">
        <v>0</v>
      </c>
      <c r="L23" s="24" t="s">
        <v>54</v>
      </c>
      <c r="M23" s="35"/>
      <c r="N23" s="35"/>
      <c r="O23" s="35"/>
      <c r="P23" s="233"/>
    </row>
    <row r="24" spans="1:19" ht="15.75" thickBot="1" x14ac:dyDescent="0.3">
      <c r="A24" s="32">
        <v>30</v>
      </c>
      <c r="B24" s="24">
        <v>22.5</v>
      </c>
      <c r="C24" s="24">
        <v>8.85</v>
      </c>
      <c r="D24" s="24">
        <v>10.09</v>
      </c>
      <c r="E24" s="24">
        <v>2600</v>
      </c>
      <c r="F24" s="24">
        <v>0.25</v>
      </c>
      <c r="G24" s="24">
        <v>12</v>
      </c>
      <c r="H24" s="24">
        <v>3430</v>
      </c>
      <c r="I24" s="24">
        <v>0</v>
      </c>
      <c r="J24" s="24" t="s">
        <v>51</v>
      </c>
      <c r="K24" s="24">
        <v>0</v>
      </c>
      <c r="L24" s="24" t="s">
        <v>54</v>
      </c>
      <c r="M24" s="36">
        <v>63.3</v>
      </c>
      <c r="N24" s="36">
        <v>20095</v>
      </c>
      <c r="O24" s="36">
        <v>5108</v>
      </c>
      <c r="P24" s="233"/>
    </row>
    <row r="25" spans="1:19" ht="15.75" thickBot="1" x14ac:dyDescent="0.3">
      <c r="A25" s="32" t="s">
        <v>40</v>
      </c>
      <c r="B25" s="24">
        <v>22.5</v>
      </c>
      <c r="C25" s="24">
        <v>8.81</v>
      </c>
      <c r="D25" s="24">
        <v>10.11</v>
      </c>
      <c r="E25" s="24">
        <v>2700</v>
      </c>
      <c r="F25" s="24">
        <v>0.4</v>
      </c>
      <c r="G25" s="24">
        <v>12</v>
      </c>
      <c r="H25" s="24">
        <v>3270</v>
      </c>
      <c r="I25" s="24">
        <v>0</v>
      </c>
      <c r="J25" s="24" t="s">
        <v>51</v>
      </c>
      <c r="K25" s="24">
        <v>0</v>
      </c>
      <c r="L25" s="24" t="s">
        <v>54</v>
      </c>
      <c r="M25" s="36">
        <v>66.7</v>
      </c>
      <c r="N25" s="60">
        <v>14322</v>
      </c>
      <c r="O25" s="27"/>
      <c r="P25" s="28"/>
    </row>
    <row r="26" spans="1:19" x14ac:dyDescent="0.25">
      <c r="A26" s="28"/>
      <c r="B26" s="28">
        <f>AVERAGE(B20)</f>
        <v>21.7</v>
      </c>
      <c r="C26" s="28">
        <f>AVERAGE(C20)</f>
        <v>9.02</v>
      </c>
      <c r="D26" s="28"/>
      <c r="E26" s="28"/>
      <c r="F26" s="28"/>
      <c r="G26" s="28"/>
      <c r="H26" s="28"/>
      <c r="I26" s="29"/>
      <c r="J26" s="28">
        <v>7.15</v>
      </c>
      <c r="K26" s="28"/>
      <c r="L26" s="28"/>
      <c r="M26" s="28"/>
      <c r="N26" s="28"/>
      <c r="O26" s="28"/>
      <c r="P26" s="28"/>
    </row>
    <row r="27" spans="1:19" x14ac:dyDescent="0.25">
      <c r="A27" s="28" t="s">
        <v>140</v>
      </c>
      <c r="B27" s="8"/>
      <c r="C27" s="8"/>
      <c r="D27" s="8"/>
      <c r="E27" s="8"/>
      <c r="F27" s="8"/>
      <c r="G27" s="8"/>
      <c r="H27" s="8"/>
      <c r="I27" s="25"/>
      <c r="J27" s="8"/>
      <c r="K27" s="8"/>
      <c r="L27" s="8"/>
      <c r="M27" s="8"/>
      <c r="N27" s="28"/>
      <c r="O27" s="8"/>
      <c r="P27" s="8"/>
    </row>
    <row r="28" spans="1:19" x14ac:dyDescent="0.25">
      <c r="A28" s="28"/>
      <c r="B28" s="28" t="s">
        <v>141</v>
      </c>
      <c r="C28" s="8"/>
      <c r="D28" s="8"/>
      <c r="E28" s="8"/>
      <c r="F28" s="8"/>
      <c r="G28" s="8"/>
      <c r="H28" s="8"/>
      <c r="I28" s="25"/>
      <c r="J28" s="8"/>
      <c r="K28" s="8"/>
      <c r="L28" s="8"/>
      <c r="M28" s="8"/>
      <c r="N28" s="28"/>
      <c r="O28" s="8"/>
      <c r="P28" s="8"/>
    </row>
    <row r="29" spans="1:19" x14ac:dyDescent="0.25">
      <c r="A29" s="28" t="s">
        <v>27</v>
      </c>
      <c r="B29" s="28"/>
      <c r="C29" s="28"/>
      <c r="D29" s="28"/>
      <c r="E29" s="28"/>
      <c r="F29" s="28"/>
      <c r="G29" s="28"/>
      <c r="H29" s="28"/>
      <c r="I29" s="29"/>
      <c r="J29" s="28"/>
      <c r="K29" s="28"/>
      <c r="L29" s="28"/>
      <c r="M29" s="28"/>
      <c r="N29" s="28"/>
      <c r="O29" s="28"/>
      <c r="P29" s="28"/>
    </row>
    <row r="30" spans="1:19" x14ac:dyDescent="0.25">
      <c r="A30" s="28" t="s">
        <v>151</v>
      </c>
      <c r="F30" s="28"/>
      <c r="G30" s="28"/>
      <c r="H30" s="28"/>
      <c r="I30" s="29"/>
      <c r="J30" s="28"/>
      <c r="K30" s="28"/>
      <c r="L30" s="28"/>
      <c r="M30" s="28"/>
      <c r="N30" s="28"/>
      <c r="O30" s="28"/>
      <c r="P30" s="28"/>
    </row>
    <row r="32" spans="1:19" x14ac:dyDescent="0.25">
      <c r="A32" s="19" t="s">
        <v>28</v>
      </c>
      <c r="B32" s="28"/>
      <c r="C32" s="28"/>
      <c r="D32" s="28"/>
      <c r="E32" s="28"/>
      <c r="F32" s="28"/>
      <c r="G32" s="28"/>
      <c r="H32" s="28"/>
      <c r="I32" s="29"/>
      <c r="J32" s="28"/>
      <c r="K32" s="28"/>
      <c r="L32" s="28"/>
    </row>
    <row r="33" spans="1:15" x14ac:dyDescent="0.25">
      <c r="A33" s="28"/>
      <c r="B33" s="22"/>
      <c r="C33" s="28"/>
      <c r="D33" s="28"/>
      <c r="E33" s="28"/>
      <c r="F33" s="28"/>
      <c r="G33" s="28"/>
      <c r="H33" s="28"/>
      <c r="I33" s="29"/>
      <c r="J33" s="28"/>
      <c r="K33" s="28"/>
      <c r="L33" s="28"/>
    </row>
    <row r="34" spans="1:15" x14ac:dyDescent="0.25">
      <c r="A34" s="28"/>
      <c r="B34" s="22" t="s">
        <v>128</v>
      </c>
      <c r="C34" s="8"/>
      <c r="D34" s="8"/>
      <c r="E34" s="8"/>
      <c r="F34" s="8"/>
      <c r="G34" s="8"/>
      <c r="H34" s="8"/>
      <c r="I34" s="25"/>
      <c r="J34" s="8"/>
      <c r="K34" s="8"/>
      <c r="L34" s="28"/>
    </row>
    <row r="35" spans="1:15" x14ac:dyDescent="0.25">
      <c r="A35" s="28"/>
      <c r="B35" s="22" t="s">
        <v>135</v>
      </c>
      <c r="C35" s="8"/>
      <c r="D35" s="8"/>
      <c r="E35" s="8"/>
      <c r="F35" s="8"/>
      <c r="G35" s="8"/>
      <c r="H35" s="8"/>
      <c r="I35" s="25"/>
      <c r="J35" s="8"/>
      <c r="K35" s="8"/>
      <c r="L35" s="28"/>
      <c r="O35" t="s">
        <v>34</v>
      </c>
    </row>
    <row r="36" spans="1:15" x14ac:dyDescent="0.25">
      <c r="A36" s="28"/>
      <c r="B36" s="20" t="s">
        <v>36</v>
      </c>
      <c r="C36" s="8"/>
      <c r="D36" s="8"/>
      <c r="E36" s="8"/>
      <c r="F36" s="8"/>
      <c r="G36" s="8"/>
      <c r="H36" s="8"/>
      <c r="I36" s="25"/>
      <c r="J36" s="8"/>
      <c r="K36" s="8"/>
      <c r="L36" s="28"/>
    </row>
    <row r="37" spans="1:15" x14ac:dyDescent="0.25">
      <c r="A37" s="28"/>
      <c r="B37" s="22" t="s">
        <v>133</v>
      </c>
      <c r="L37" s="28"/>
    </row>
    <row r="38" spans="1:15" x14ac:dyDescent="0.25">
      <c r="A38" s="28"/>
      <c r="B38" s="22"/>
      <c r="L38" s="28"/>
    </row>
    <row r="39" spans="1:15" x14ac:dyDescent="0.25">
      <c r="A39" s="28"/>
      <c r="B39" s="22" t="s">
        <v>45</v>
      </c>
      <c r="C39" s="21"/>
      <c r="D39" s="21"/>
      <c r="E39" s="8"/>
      <c r="F39" s="8"/>
      <c r="G39" s="8"/>
      <c r="H39" s="8"/>
      <c r="I39" s="25"/>
      <c r="J39" s="8"/>
      <c r="K39" s="8"/>
      <c r="L39" s="28" t="s">
        <v>34</v>
      </c>
    </row>
    <row r="40" spans="1:15" x14ac:dyDescent="0.25">
      <c r="A40" s="28"/>
      <c r="B40" s="37" t="s">
        <v>55</v>
      </c>
      <c r="C40" s="21"/>
      <c r="D40" s="8"/>
      <c r="E40" s="8"/>
      <c r="F40" s="8"/>
      <c r="G40" s="8"/>
      <c r="H40" s="25"/>
      <c r="I40" s="8"/>
      <c r="J40" s="8"/>
      <c r="K40" s="8"/>
    </row>
    <row r="41" spans="1:15" x14ac:dyDescent="0.25">
      <c r="A41" s="28"/>
      <c r="B41" s="22" t="s">
        <v>137</v>
      </c>
      <c r="C41" s="8"/>
      <c r="D41" s="8"/>
      <c r="E41" s="8"/>
      <c r="F41" s="8"/>
      <c r="G41" s="8"/>
      <c r="H41" s="8"/>
      <c r="I41" s="25"/>
      <c r="J41" s="8"/>
      <c r="K41" s="8"/>
      <c r="L41" s="28"/>
    </row>
    <row r="42" spans="1:15" x14ac:dyDescent="0.25">
      <c r="A42" s="28"/>
      <c r="B42" s="22"/>
      <c r="C42" s="28"/>
      <c r="D42" s="28"/>
      <c r="E42" s="28"/>
      <c r="F42" s="28"/>
      <c r="G42" s="28"/>
      <c r="H42" s="29"/>
      <c r="I42" s="28"/>
      <c r="J42" s="28"/>
      <c r="K42" s="28"/>
      <c r="L42" s="28"/>
    </row>
    <row r="43" spans="1:15" x14ac:dyDescent="0.25">
      <c r="A43" s="28"/>
      <c r="B43" s="41" t="s">
        <v>154</v>
      </c>
      <c r="C43" s="41"/>
      <c r="D43" s="41"/>
      <c r="E43" s="41"/>
      <c r="F43" s="41"/>
      <c r="G43" s="41"/>
      <c r="H43" s="41"/>
      <c r="I43" s="41"/>
      <c r="J43" s="41"/>
      <c r="K43" s="41"/>
    </row>
    <row r="44" spans="1:15" x14ac:dyDescent="0.25">
      <c r="A44" s="28"/>
      <c r="B44" s="41" t="s">
        <v>155</v>
      </c>
      <c r="C44" s="41"/>
      <c r="D44" s="41"/>
      <c r="E44" s="41"/>
      <c r="F44" s="41"/>
      <c r="G44" s="41"/>
      <c r="H44" s="41"/>
      <c r="I44" s="41"/>
      <c r="J44" s="41"/>
      <c r="K44" s="41"/>
    </row>
    <row r="45" spans="1:15" x14ac:dyDescent="0.25">
      <c r="B45" s="22" t="s">
        <v>157</v>
      </c>
      <c r="C45" s="28"/>
      <c r="D45" s="28"/>
      <c r="E45" s="28"/>
      <c r="F45" s="28"/>
      <c r="G45" s="28"/>
      <c r="H45" s="29"/>
      <c r="I45" s="28"/>
      <c r="J45" s="41"/>
      <c r="K45" s="28"/>
      <c r="M45" t="s">
        <v>34</v>
      </c>
    </row>
  </sheetData>
  <phoneticPr fontId="0" type="noConversion"/>
  <pageMargins left="0.7" right="0.7" top="0.75" bottom="0.75" header="0.3" footer="0.3"/>
  <pageSetup scale="70" orientation="landscape" verticalDpi="597"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6:S46"/>
  <sheetViews>
    <sheetView zoomScale="90" zoomScaleNormal="90" workbookViewId="0"/>
  </sheetViews>
  <sheetFormatPr defaultRowHeight="15" x14ac:dyDescent="0.25"/>
  <cols>
    <col min="2" max="2" width="10.7109375" customWidth="1"/>
  </cols>
  <sheetData>
    <row r="6" spans="1:16" x14ac:dyDescent="0.25">
      <c r="A6" s="7" t="s">
        <v>12</v>
      </c>
      <c r="B6" s="28"/>
      <c r="C6" s="28"/>
      <c r="D6" s="28"/>
      <c r="E6" s="28"/>
      <c r="F6" s="28"/>
      <c r="G6" s="28"/>
      <c r="H6" s="28"/>
      <c r="I6" s="29"/>
      <c r="J6" s="28"/>
      <c r="K6" s="28"/>
      <c r="L6" s="28"/>
      <c r="M6" s="28"/>
      <c r="N6" s="28"/>
      <c r="O6" s="28"/>
      <c r="P6" s="28"/>
    </row>
    <row r="7" spans="1:16" x14ac:dyDescent="0.25">
      <c r="A7" s="30" t="s">
        <v>13</v>
      </c>
      <c r="B7" s="30">
        <v>40890</v>
      </c>
      <c r="C7" s="28"/>
      <c r="D7" s="28"/>
      <c r="E7" s="28"/>
      <c r="F7" s="28"/>
      <c r="G7" s="28"/>
      <c r="H7" s="28"/>
      <c r="I7" s="29"/>
      <c r="J7" s="28"/>
      <c r="K7" s="28"/>
      <c r="L7" s="28"/>
      <c r="M7" s="28"/>
      <c r="N7" s="28"/>
      <c r="O7" s="28"/>
      <c r="P7" s="28"/>
    </row>
    <row r="8" spans="1:16" x14ac:dyDescent="0.25">
      <c r="A8" s="28" t="s">
        <v>14</v>
      </c>
      <c r="B8" s="28">
        <v>6</v>
      </c>
      <c r="C8" s="28" t="s">
        <v>476</v>
      </c>
      <c r="D8" s="28"/>
      <c r="E8" s="28"/>
      <c r="F8" s="28"/>
      <c r="G8" s="28"/>
      <c r="H8" s="28"/>
      <c r="I8" s="29"/>
      <c r="J8" s="28"/>
      <c r="K8" s="28"/>
      <c r="L8" s="28"/>
      <c r="M8" s="28"/>
      <c r="N8" s="28"/>
      <c r="O8" s="28"/>
      <c r="P8" s="28"/>
    </row>
    <row r="9" spans="1:16" x14ac:dyDescent="0.25">
      <c r="A9" s="8" t="s">
        <v>15</v>
      </c>
      <c r="B9" s="8">
        <v>7</v>
      </c>
      <c r="C9" s="19" t="s">
        <v>126</v>
      </c>
      <c r="D9" s="8"/>
      <c r="E9" s="8"/>
      <c r="F9" s="8"/>
      <c r="G9" s="8"/>
      <c r="H9" s="8"/>
      <c r="I9" s="25"/>
      <c r="J9" s="8"/>
      <c r="K9" s="8"/>
      <c r="L9" s="8"/>
      <c r="M9" s="8"/>
      <c r="N9" s="8"/>
      <c r="O9" s="8"/>
      <c r="P9" s="8"/>
    </row>
    <row r="10" spans="1:16" x14ac:dyDescent="0.25">
      <c r="A10" s="28" t="s">
        <v>16</v>
      </c>
      <c r="B10" s="87">
        <v>2000</v>
      </c>
      <c r="C10" s="31" t="s">
        <v>43</v>
      </c>
      <c r="D10" s="28"/>
      <c r="E10" s="28"/>
      <c r="F10" s="28"/>
      <c r="G10" s="28"/>
      <c r="H10" s="28"/>
      <c r="I10" s="29"/>
      <c r="J10" s="28"/>
      <c r="K10" s="28" t="s">
        <v>34</v>
      </c>
      <c r="L10" s="28"/>
      <c r="M10" s="28"/>
      <c r="N10" s="28"/>
      <c r="O10" s="28"/>
      <c r="P10" s="28"/>
    </row>
    <row r="11" spans="1:16" x14ac:dyDescent="0.25">
      <c r="A11" s="28"/>
      <c r="B11" s="243">
        <v>200000000</v>
      </c>
      <c r="C11" s="31" t="s">
        <v>58</v>
      </c>
      <c r="D11" s="28"/>
      <c r="E11" s="28"/>
      <c r="F11" s="28"/>
      <c r="G11" s="28"/>
      <c r="H11" s="28"/>
      <c r="I11" s="29"/>
      <c r="J11" s="28" t="s">
        <v>34</v>
      </c>
      <c r="K11" s="28"/>
      <c r="L11" s="28"/>
      <c r="M11" s="28"/>
      <c r="N11" s="28"/>
      <c r="O11" s="28"/>
      <c r="P11" s="28"/>
    </row>
    <row r="12" spans="1:16" x14ac:dyDescent="0.25">
      <c r="A12" s="28"/>
      <c r="B12" s="87">
        <v>95</v>
      </c>
      <c r="C12" s="31" t="s">
        <v>44</v>
      </c>
      <c r="D12" s="28"/>
      <c r="E12" s="28"/>
      <c r="F12" s="28"/>
      <c r="G12" s="28"/>
      <c r="H12" s="28"/>
      <c r="I12" s="29"/>
      <c r="J12" s="28"/>
      <c r="K12" s="28"/>
      <c r="L12" s="28"/>
      <c r="M12" s="28"/>
      <c r="N12" s="28"/>
      <c r="O12" s="28"/>
      <c r="P12" s="28"/>
    </row>
    <row r="13" spans="1:16" x14ac:dyDescent="0.25">
      <c r="A13" s="28"/>
      <c r="B13" s="31">
        <v>6</v>
      </c>
      <c r="C13" s="28" t="s">
        <v>697</v>
      </c>
      <c r="D13" s="28"/>
      <c r="E13" s="28"/>
      <c r="F13" s="28"/>
      <c r="G13" s="28"/>
      <c r="H13" s="28"/>
      <c r="I13" s="242"/>
      <c r="J13" s="28"/>
      <c r="K13" s="28"/>
      <c r="L13" s="28"/>
      <c r="M13" s="28"/>
      <c r="N13" s="28"/>
      <c r="O13" s="28"/>
      <c r="P13" s="28"/>
    </row>
    <row r="14" spans="1:16" x14ac:dyDescent="0.25">
      <c r="A14" s="28"/>
      <c r="B14" s="31">
        <v>100</v>
      </c>
      <c r="C14" s="87" t="s">
        <v>696</v>
      </c>
      <c r="D14" s="28"/>
      <c r="E14" s="28"/>
      <c r="F14" s="28"/>
      <c r="G14" s="28"/>
      <c r="H14" s="28"/>
      <c r="I14" s="242"/>
      <c r="J14" s="28"/>
      <c r="K14" s="28"/>
      <c r="L14" s="28"/>
      <c r="M14" s="28"/>
      <c r="N14" s="28"/>
      <c r="O14" s="28"/>
      <c r="P14" s="28"/>
    </row>
    <row r="15" spans="1:16" x14ac:dyDescent="0.25">
      <c r="A15" s="28"/>
      <c r="B15" s="31">
        <v>0</v>
      </c>
      <c r="C15" s="87" t="s">
        <v>698</v>
      </c>
      <c r="D15" s="28"/>
      <c r="E15" s="28"/>
      <c r="F15" s="28"/>
      <c r="G15" s="28"/>
      <c r="H15" s="28"/>
      <c r="I15" s="242"/>
      <c r="J15" s="28"/>
      <c r="K15" s="28"/>
      <c r="L15" s="28"/>
      <c r="M15" s="28"/>
      <c r="N15" s="28"/>
      <c r="O15" s="28"/>
      <c r="P15" s="28"/>
    </row>
    <row r="16" spans="1:16" x14ac:dyDescent="0.25">
      <c r="A16" s="28"/>
      <c r="B16" s="232">
        <f>(B12*B13/100*1000)/(B10+B12-B14+B15)*1000</f>
        <v>2857.1428571428573</v>
      </c>
      <c r="C16" s="28" t="s">
        <v>700</v>
      </c>
      <c r="D16" s="28"/>
      <c r="E16" s="28"/>
      <c r="F16" s="28"/>
      <c r="G16" s="28"/>
      <c r="H16" s="28"/>
      <c r="I16" s="242"/>
      <c r="J16" s="28"/>
      <c r="K16" s="28"/>
      <c r="L16" s="28"/>
      <c r="M16" s="28"/>
      <c r="N16" s="28"/>
      <c r="O16" s="28"/>
      <c r="P16" s="28"/>
    </row>
    <row r="17" spans="1:19" ht="15.75" thickBot="1" x14ac:dyDescent="0.3">
      <c r="A17" s="28"/>
      <c r="B17" s="28"/>
      <c r="C17" s="28" t="s">
        <v>705</v>
      </c>
      <c r="D17" s="28"/>
      <c r="E17" s="28"/>
      <c r="F17" s="28"/>
      <c r="G17" s="28"/>
      <c r="H17" s="28"/>
      <c r="I17" s="29"/>
      <c r="J17" s="28"/>
      <c r="K17" s="28"/>
      <c r="L17" s="28"/>
      <c r="M17" s="28"/>
      <c r="N17" s="28"/>
      <c r="O17" s="28"/>
      <c r="P17" s="28"/>
    </row>
    <row r="18" spans="1:19" ht="90" thickBot="1" x14ac:dyDescent="0.3">
      <c r="A18" s="10" t="s">
        <v>29</v>
      </c>
      <c r="B18" s="11" t="s">
        <v>17</v>
      </c>
      <c r="C18" s="11" t="s">
        <v>30</v>
      </c>
      <c r="D18" s="11" t="s">
        <v>31</v>
      </c>
      <c r="E18" s="11" t="s">
        <v>32</v>
      </c>
      <c r="F18" s="11" t="s">
        <v>33</v>
      </c>
      <c r="G18" s="11" t="s">
        <v>18</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21.7</v>
      </c>
      <c r="C19" s="23">
        <v>9.09</v>
      </c>
      <c r="D19" s="23">
        <v>8.93</v>
      </c>
      <c r="E19" s="23">
        <v>0.67</v>
      </c>
      <c r="F19" s="23">
        <v>0.82</v>
      </c>
      <c r="G19" s="51">
        <v>13</v>
      </c>
      <c r="H19" s="23">
        <v>3120</v>
      </c>
      <c r="I19" s="33">
        <v>9700000</v>
      </c>
      <c r="J19" s="23">
        <v>0</v>
      </c>
      <c r="K19" s="33">
        <v>14000000</v>
      </c>
      <c r="L19" s="23" t="s">
        <v>26</v>
      </c>
      <c r="M19" s="34"/>
      <c r="N19" s="34"/>
      <c r="O19" s="35"/>
      <c r="P19" s="233">
        <f>B$16*A19</f>
        <v>0</v>
      </c>
      <c r="Q19" s="233">
        <f>6/LINEST(J19:J20,P19:P20,FALSE)</f>
        <v>16172.506738544473</v>
      </c>
      <c r="R19" s="249">
        <f>Q19/3000</f>
        <v>5.3908355795148246</v>
      </c>
      <c r="S19" s="233">
        <f>(J26/LINEST($J19:$J21,$P19:$P21,FALSE))/$B$16</f>
        <v>7.3374498301945037</v>
      </c>
    </row>
    <row r="20" spans="1:19" ht="15.75" thickBot="1" x14ac:dyDescent="0.3">
      <c r="A20" s="32">
        <v>3</v>
      </c>
      <c r="B20" s="24">
        <v>21.7</v>
      </c>
      <c r="C20" s="24">
        <v>8.98</v>
      </c>
      <c r="D20" s="24">
        <v>8.94</v>
      </c>
      <c r="E20" s="24">
        <v>2300</v>
      </c>
      <c r="F20" s="24">
        <v>0.3</v>
      </c>
      <c r="G20" s="24">
        <v>9.8000000000000007</v>
      </c>
      <c r="H20" s="24">
        <v>3420</v>
      </c>
      <c r="I20" s="33">
        <v>6400</v>
      </c>
      <c r="J20" s="24">
        <v>3.18</v>
      </c>
      <c r="K20" s="24">
        <v>0</v>
      </c>
      <c r="L20" s="24" t="s">
        <v>51</v>
      </c>
      <c r="M20" s="35"/>
      <c r="N20" s="35"/>
      <c r="O20" s="35"/>
      <c r="P20" s="233">
        <f>B$16*A20</f>
        <v>8571.4285714285725</v>
      </c>
    </row>
    <row r="21" spans="1:19" ht="15.75" thickBot="1" x14ac:dyDescent="0.3">
      <c r="A21" s="32">
        <v>5</v>
      </c>
      <c r="B21" s="24">
        <v>21.7</v>
      </c>
      <c r="C21" s="24">
        <v>9.01</v>
      </c>
      <c r="D21" s="24">
        <v>9.69</v>
      </c>
      <c r="E21" s="24">
        <v>2500</v>
      </c>
      <c r="F21" s="24">
        <v>0.21</v>
      </c>
      <c r="G21" s="24">
        <v>8.6</v>
      </c>
      <c r="H21" s="24">
        <v>3520</v>
      </c>
      <c r="I21" s="33">
        <v>258</v>
      </c>
      <c r="J21" s="24">
        <v>4.57</v>
      </c>
      <c r="K21" s="24">
        <v>0</v>
      </c>
      <c r="L21" s="24" t="s">
        <v>51</v>
      </c>
      <c r="M21" s="35"/>
      <c r="N21" s="35"/>
      <c r="O21" s="35"/>
      <c r="P21" s="233">
        <f>B$16*A21</f>
        <v>14285.714285714286</v>
      </c>
    </row>
    <row r="22" spans="1:19" ht="15.75" thickBot="1" x14ac:dyDescent="0.3">
      <c r="A22" s="32">
        <v>10</v>
      </c>
      <c r="B22" s="24">
        <v>21.7</v>
      </c>
      <c r="C22" s="50">
        <v>9</v>
      </c>
      <c r="D22" s="24">
        <v>9.5399999999999991</v>
      </c>
      <c r="E22" s="24">
        <v>2100</v>
      </c>
      <c r="F22" s="24">
        <v>0.32</v>
      </c>
      <c r="G22" s="24">
        <v>9.1999999999999993</v>
      </c>
      <c r="H22" s="24">
        <v>3530</v>
      </c>
      <c r="I22" s="24">
        <v>0</v>
      </c>
      <c r="J22" s="24" t="s">
        <v>56</v>
      </c>
      <c r="K22" s="24">
        <v>0</v>
      </c>
      <c r="L22" s="24" t="s">
        <v>51</v>
      </c>
      <c r="M22" s="35"/>
      <c r="N22" s="35"/>
      <c r="O22" s="35"/>
      <c r="P22" s="233"/>
    </row>
    <row r="23" spans="1:19" ht="15.75" thickBot="1" x14ac:dyDescent="0.3">
      <c r="A23" s="32">
        <v>15</v>
      </c>
      <c r="B23" s="24">
        <v>21.8</v>
      </c>
      <c r="C23" s="24">
        <v>9.0299999999999994</v>
      </c>
      <c r="D23" s="24">
        <v>9.76</v>
      </c>
      <c r="E23" s="24">
        <v>2500</v>
      </c>
      <c r="F23" s="24">
        <v>0.51</v>
      </c>
      <c r="G23" s="24">
        <v>8.3000000000000007</v>
      </c>
      <c r="H23" s="24">
        <v>3430</v>
      </c>
      <c r="I23" s="24">
        <v>0</v>
      </c>
      <c r="J23" s="24" t="s">
        <v>56</v>
      </c>
      <c r="K23" s="24">
        <v>0</v>
      </c>
      <c r="L23" s="24" t="s">
        <v>51</v>
      </c>
      <c r="M23" s="35"/>
      <c r="N23" s="35"/>
      <c r="O23" s="35"/>
      <c r="P23" s="233"/>
    </row>
    <row r="24" spans="1:19" ht="15.75" thickBot="1" x14ac:dyDescent="0.3">
      <c r="A24" s="32">
        <v>30</v>
      </c>
      <c r="B24" s="24">
        <v>22.1</v>
      </c>
      <c r="C24" s="24">
        <v>9.0500000000000007</v>
      </c>
      <c r="D24" s="24">
        <v>9.7899999999999991</v>
      </c>
      <c r="E24" s="24">
        <v>2600</v>
      </c>
      <c r="F24" s="24">
        <v>0.31</v>
      </c>
      <c r="G24" s="24">
        <v>8.8000000000000007</v>
      </c>
      <c r="H24" s="24">
        <v>3450</v>
      </c>
      <c r="I24" s="24">
        <v>0</v>
      </c>
      <c r="J24" s="24" t="s">
        <v>56</v>
      </c>
      <c r="K24" s="24">
        <v>0</v>
      </c>
      <c r="L24" s="24" t="s">
        <v>51</v>
      </c>
      <c r="M24" s="36">
        <v>37</v>
      </c>
      <c r="N24" s="36">
        <v>14492</v>
      </c>
      <c r="O24" s="36">
        <v>4620</v>
      </c>
      <c r="P24" s="233"/>
    </row>
    <row r="25" spans="1:19" ht="15.75" thickBot="1" x14ac:dyDescent="0.3">
      <c r="A25" s="32" t="s">
        <v>40</v>
      </c>
      <c r="B25" s="24">
        <v>22.1</v>
      </c>
      <c r="C25" s="24">
        <v>9.0500000000000007</v>
      </c>
      <c r="D25" s="50">
        <v>9.8000000000000007</v>
      </c>
      <c r="E25" s="24">
        <v>2800</v>
      </c>
      <c r="F25" s="24">
        <v>0.36</v>
      </c>
      <c r="G25" s="24">
        <v>8.8000000000000007</v>
      </c>
      <c r="H25" s="24">
        <v>3270</v>
      </c>
      <c r="I25" s="24">
        <v>0</v>
      </c>
      <c r="J25" s="24" t="s">
        <v>56</v>
      </c>
      <c r="K25" s="24">
        <v>0</v>
      </c>
      <c r="L25" s="24" t="s">
        <v>51</v>
      </c>
      <c r="M25" s="36">
        <v>36</v>
      </c>
      <c r="N25" s="36">
        <v>14757</v>
      </c>
      <c r="O25" s="27"/>
      <c r="P25" s="28"/>
    </row>
    <row r="26" spans="1:19" x14ac:dyDescent="0.25">
      <c r="A26" s="28"/>
      <c r="B26" s="28">
        <f>AVERAGE(B20:B21)</f>
        <v>21.7</v>
      </c>
      <c r="C26" s="28">
        <f>AVERAGE(C20:C21)</f>
        <v>8.995000000000001</v>
      </c>
      <c r="D26" s="28"/>
      <c r="E26" s="28"/>
      <c r="F26" s="28"/>
      <c r="G26" s="28"/>
      <c r="H26" s="28"/>
      <c r="I26" s="29"/>
      <c r="J26" s="28">
        <v>6.99</v>
      </c>
      <c r="K26" s="28"/>
      <c r="L26" s="28"/>
      <c r="M26" s="28"/>
      <c r="N26" s="28"/>
      <c r="O26" s="28"/>
      <c r="P26" s="28"/>
    </row>
    <row r="27" spans="1:19" x14ac:dyDescent="0.25">
      <c r="A27" s="28" t="s">
        <v>140</v>
      </c>
      <c r="B27" s="8"/>
      <c r="C27" s="8"/>
      <c r="D27" s="8"/>
      <c r="E27" s="8"/>
      <c r="F27" s="8"/>
      <c r="G27" s="8"/>
      <c r="H27" s="8"/>
      <c r="I27" s="25"/>
      <c r="J27" s="8"/>
      <c r="K27" s="8"/>
      <c r="L27" s="8"/>
      <c r="M27" s="8"/>
      <c r="N27" s="28"/>
      <c r="O27" s="8"/>
      <c r="P27" s="8"/>
    </row>
    <row r="28" spans="1:19" x14ac:dyDescent="0.25">
      <c r="A28" s="28"/>
      <c r="B28" s="28" t="s">
        <v>141</v>
      </c>
      <c r="C28" s="8"/>
      <c r="D28" s="8"/>
      <c r="E28" s="8"/>
      <c r="F28" s="8"/>
      <c r="G28" s="8"/>
      <c r="H28" s="8"/>
      <c r="I28" s="25"/>
      <c r="J28" s="8"/>
      <c r="K28" s="8"/>
      <c r="L28" s="8"/>
      <c r="M28" s="8"/>
      <c r="N28" s="28"/>
      <c r="O28" s="8"/>
      <c r="P28" s="8"/>
    </row>
    <row r="29" spans="1:19" x14ac:dyDescent="0.25">
      <c r="A29" s="28" t="s">
        <v>27</v>
      </c>
      <c r="B29" s="28"/>
      <c r="C29" s="28"/>
      <c r="D29" s="28"/>
      <c r="E29" s="28"/>
      <c r="F29" s="28"/>
      <c r="G29" s="28"/>
      <c r="H29" s="28"/>
      <c r="I29" s="29"/>
      <c r="J29" s="28"/>
      <c r="K29" s="28"/>
      <c r="L29" s="28"/>
      <c r="M29" s="28"/>
      <c r="N29" s="28"/>
      <c r="O29" s="28"/>
      <c r="P29" s="28"/>
    </row>
    <row r="30" spans="1:19" x14ac:dyDescent="0.25">
      <c r="F30" s="28"/>
      <c r="G30" s="28"/>
      <c r="H30" s="28"/>
      <c r="I30" s="29"/>
      <c r="J30" s="28"/>
      <c r="K30" s="28"/>
      <c r="L30" s="28"/>
      <c r="M30" s="28"/>
      <c r="N30" s="28"/>
      <c r="O30" s="28"/>
      <c r="P30" s="28"/>
    </row>
    <row r="31" spans="1:19" x14ac:dyDescent="0.25">
      <c r="A31" s="28"/>
      <c r="B31" s="28"/>
      <c r="C31" s="28"/>
      <c r="D31" s="28"/>
      <c r="E31" s="28"/>
      <c r="F31" s="28"/>
      <c r="G31" s="28"/>
      <c r="H31" s="28"/>
      <c r="I31" s="29"/>
      <c r="J31" s="28"/>
      <c r="K31" s="28"/>
      <c r="L31" s="28"/>
      <c r="M31" s="28"/>
      <c r="N31" s="28"/>
      <c r="O31" s="28"/>
      <c r="P31" s="28"/>
    </row>
    <row r="32" spans="1:19" x14ac:dyDescent="0.25">
      <c r="A32" s="19" t="s">
        <v>28</v>
      </c>
      <c r="B32" s="28"/>
      <c r="C32" s="28"/>
      <c r="D32" s="28"/>
      <c r="E32" s="28"/>
      <c r="F32" s="28"/>
      <c r="G32" s="28"/>
      <c r="H32" s="28"/>
      <c r="I32" s="29"/>
      <c r="J32" s="28"/>
      <c r="K32" s="28"/>
      <c r="L32" s="28"/>
      <c r="M32" s="28"/>
      <c r="N32" s="28"/>
      <c r="O32" s="28"/>
      <c r="P32" s="28"/>
    </row>
    <row r="33" spans="1:16" x14ac:dyDescent="0.25">
      <c r="A33" s="28"/>
      <c r="B33" s="22"/>
      <c r="C33" s="28"/>
      <c r="D33" s="28"/>
      <c r="E33" s="28"/>
      <c r="F33" s="28"/>
      <c r="G33" s="28"/>
      <c r="H33" s="28"/>
      <c r="I33" s="29"/>
      <c r="J33" s="28"/>
      <c r="K33" s="28"/>
      <c r="L33" s="28"/>
      <c r="M33" s="28"/>
      <c r="N33" s="28"/>
      <c r="O33" s="28"/>
      <c r="P33" s="28"/>
    </row>
    <row r="34" spans="1:16" x14ac:dyDescent="0.25">
      <c r="A34" s="28"/>
      <c r="B34" s="22" t="s">
        <v>128</v>
      </c>
      <c r="C34" s="8"/>
      <c r="D34" s="8"/>
      <c r="E34" s="8"/>
      <c r="F34" s="8"/>
      <c r="G34" s="8"/>
      <c r="H34" s="8"/>
      <c r="I34" s="25"/>
      <c r="J34" s="8"/>
      <c r="K34" s="8"/>
      <c r="L34" s="28"/>
      <c r="M34" s="28"/>
      <c r="N34" s="28" t="s">
        <v>34</v>
      </c>
      <c r="O34" s="28"/>
      <c r="P34" s="28"/>
    </row>
    <row r="35" spans="1:16" x14ac:dyDescent="0.25">
      <c r="A35" s="28"/>
      <c r="B35" s="22" t="s">
        <v>135</v>
      </c>
      <c r="C35" s="8"/>
      <c r="D35" s="8"/>
      <c r="E35" s="8"/>
      <c r="F35" s="8"/>
      <c r="G35" s="8"/>
      <c r="H35" s="8"/>
      <c r="I35" s="25"/>
      <c r="J35" s="8"/>
      <c r="K35" s="8"/>
      <c r="L35" s="28"/>
      <c r="M35" s="28"/>
      <c r="N35" s="28" t="s">
        <v>34</v>
      </c>
      <c r="O35" s="28"/>
      <c r="P35" s="28"/>
    </row>
    <row r="36" spans="1:16" x14ac:dyDescent="0.25">
      <c r="A36" s="28"/>
      <c r="B36" s="20" t="s">
        <v>36</v>
      </c>
      <c r="C36" s="8"/>
      <c r="D36" s="8"/>
      <c r="E36" s="8"/>
      <c r="F36" s="8"/>
      <c r="G36" s="8"/>
      <c r="H36" s="8"/>
      <c r="I36" s="25"/>
      <c r="J36" s="8"/>
      <c r="K36" s="8"/>
      <c r="L36" s="28"/>
      <c r="M36" s="28"/>
      <c r="N36" s="28"/>
      <c r="O36" s="28"/>
      <c r="P36" s="28"/>
    </row>
    <row r="37" spans="1:16" x14ac:dyDescent="0.25">
      <c r="A37" s="28"/>
      <c r="B37" s="22" t="s">
        <v>133</v>
      </c>
      <c r="L37" s="28"/>
      <c r="M37" s="28"/>
      <c r="N37" s="28"/>
      <c r="O37" s="28"/>
      <c r="P37" s="28"/>
    </row>
    <row r="38" spans="1:16" x14ac:dyDescent="0.25">
      <c r="A38" s="28"/>
      <c r="B38" s="22"/>
      <c r="L38" s="28"/>
      <c r="M38" s="28"/>
      <c r="N38" s="28"/>
      <c r="O38" s="28"/>
      <c r="P38" s="28"/>
    </row>
    <row r="39" spans="1:16" x14ac:dyDescent="0.25">
      <c r="A39" s="28"/>
      <c r="B39" s="22" t="s">
        <v>158</v>
      </c>
      <c r="C39" s="21"/>
      <c r="D39" s="21"/>
      <c r="E39" s="8"/>
      <c r="F39" s="8"/>
      <c r="G39" s="8"/>
      <c r="H39" s="8"/>
      <c r="I39" s="25"/>
      <c r="J39" s="8"/>
      <c r="K39" s="8"/>
      <c r="L39" s="28"/>
      <c r="M39" s="28"/>
      <c r="N39" s="28"/>
      <c r="O39" s="28"/>
      <c r="P39" s="28"/>
    </row>
    <row r="40" spans="1:16" x14ac:dyDescent="0.25">
      <c r="A40" s="28"/>
      <c r="B40" s="37" t="s">
        <v>447</v>
      </c>
      <c r="C40" s="21"/>
      <c r="D40" s="8"/>
      <c r="E40" s="8"/>
      <c r="F40" s="8"/>
      <c r="G40" s="8"/>
      <c r="H40" s="25"/>
      <c r="I40" s="8"/>
      <c r="J40" s="8"/>
      <c r="K40" s="8"/>
      <c r="M40" s="28"/>
      <c r="N40" s="28"/>
      <c r="O40" s="28"/>
      <c r="P40" s="28"/>
    </row>
    <row r="41" spans="1:16" x14ac:dyDescent="0.25">
      <c r="A41" s="28"/>
      <c r="B41" s="22" t="s">
        <v>137</v>
      </c>
      <c r="C41" s="8"/>
      <c r="D41" s="8"/>
      <c r="E41" s="8"/>
      <c r="F41" s="8"/>
      <c r="G41" s="8"/>
      <c r="H41" s="8"/>
      <c r="I41" s="25"/>
      <c r="J41" s="8"/>
      <c r="K41" s="8"/>
      <c r="M41" s="28" t="s">
        <v>34</v>
      </c>
      <c r="N41" s="28"/>
      <c r="O41" s="28"/>
      <c r="P41" s="28"/>
    </row>
    <row r="42" spans="1:16" x14ac:dyDescent="0.25">
      <c r="B42" s="22"/>
      <c r="C42" s="37"/>
      <c r="D42" s="37"/>
      <c r="E42" s="28"/>
      <c r="F42" s="28"/>
      <c r="G42" s="28"/>
      <c r="H42" s="28"/>
      <c r="I42" s="29"/>
      <c r="J42" s="28"/>
      <c r="K42" s="28"/>
      <c r="L42" s="28"/>
      <c r="M42" s="28"/>
      <c r="N42" s="28"/>
      <c r="O42" s="28"/>
      <c r="P42" s="28"/>
    </row>
    <row r="43" spans="1:16" x14ac:dyDescent="0.25">
      <c r="A43" s="28"/>
      <c r="B43" s="41" t="s">
        <v>154</v>
      </c>
      <c r="C43" s="41"/>
      <c r="D43" s="41"/>
      <c r="E43" s="41"/>
      <c r="F43" s="41"/>
      <c r="G43" s="41"/>
      <c r="H43" s="41"/>
      <c r="I43" s="41"/>
      <c r="J43" s="41"/>
      <c r="K43" s="41"/>
      <c r="M43" s="28"/>
      <c r="N43" s="28" t="s">
        <v>34</v>
      </c>
      <c r="O43" s="28"/>
      <c r="P43" s="28"/>
    </row>
    <row r="44" spans="1:16" x14ac:dyDescent="0.25">
      <c r="A44" s="28"/>
      <c r="B44" s="41" t="s">
        <v>155</v>
      </c>
      <c r="C44" s="41"/>
      <c r="D44" s="41"/>
      <c r="E44" s="41"/>
      <c r="F44" s="41"/>
      <c r="G44" s="41"/>
      <c r="H44" s="41"/>
      <c r="I44" s="41"/>
      <c r="J44" s="41"/>
      <c r="K44" s="41"/>
      <c r="M44" s="28"/>
      <c r="N44" s="28"/>
      <c r="O44" s="28"/>
      <c r="P44" s="28"/>
    </row>
    <row r="45" spans="1:16" x14ac:dyDescent="0.25">
      <c r="B45" s="22" t="s">
        <v>157</v>
      </c>
      <c r="C45" s="28"/>
      <c r="D45" s="28"/>
      <c r="E45" s="28"/>
      <c r="F45" s="28"/>
      <c r="G45" s="28"/>
      <c r="H45" s="29"/>
      <c r="I45" s="28"/>
      <c r="J45" s="41"/>
      <c r="K45" s="28"/>
    </row>
    <row r="46" spans="1:16" x14ac:dyDescent="0.25">
      <c r="B46" s="22"/>
      <c r="C46" s="28"/>
      <c r="D46" s="28"/>
      <c r="E46" s="28"/>
      <c r="F46" s="28"/>
      <c r="G46" s="28"/>
      <c r="H46" s="29"/>
      <c r="I46" s="28"/>
      <c r="K46" s="28"/>
    </row>
  </sheetData>
  <phoneticPr fontId="0" type="noConversion"/>
  <pageMargins left="0.7" right="0.7" top="0.75" bottom="0.75" header="0.3" footer="0.3"/>
  <pageSetup scale="70" orientation="landscape" verticalDpi="597"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B050"/>
    <pageSetUpPr fitToPage="1"/>
  </sheetPr>
  <dimension ref="A6:S52"/>
  <sheetViews>
    <sheetView zoomScale="90" zoomScaleNormal="90" workbookViewId="0"/>
  </sheetViews>
  <sheetFormatPr defaultRowHeight="15" x14ac:dyDescent="0.25"/>
  <cols>
    <col min="2" max="2" width="10"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40918</v>
      </c>
      <c r="C7" s="28"/>
      <c r="D7" s="28"/>
      <c r="E7" s="28"/>
      <c r="F7" s="28"/>
      <c r="G7" s="28"/>
      <c r="H7" s="28"/>
      <c r="I7" s="29"/>
      <c r="J7" s="28"/>
      <c r="K7" s="28"/>
      <c r="L7" s="28"/>
      <c r="M7" s="28"/>
      <c r="N7" s="28"/>
      <c r="O7" s="28"/>
    </row>
    <row r="8" spans="1:15" x14ac:dyDescent="0.25">
      <c r="A8" s="28" t="s">
        <v>14</v>
      </c>
      <c r="B8" s="28">
        <v>7</v>
      </c>
      <c r="C8" s="28" t="s">
        <v>477</v>
      </c>
      <c r="D8" s="28"/>
      <c r="E8" s="28"/>
      <c r="F8" s="28"/>
      <c r="G8" s="28"/>
      <c r="H8" s="28"/>
      <c r="I8" s="29"/>
      <c r="J8" s="28"/>
      <c r="K8" s="28" t="s">
        <v>34</v>
      </c>
      <c r="L8" s="28" t="s">
        <v>34</v>
      </c>
      <c r="M8" s="28"/>
      <c r="N8" s="28"/>
      <c r="O8" s="28"/>
    </row>
    <row r="9" spans="1:15" x14ac:dyDescent="0.25">
      <c r="A9" s="8" t="s">
        <v>15</v>
      </c>
      <c r="B9" s="8">
        <v>3</v>
      </c>
      <c r="C9" s="19" t="s">
        <v>125</v>
      </c>
      <c r="D9" s="8"/>
      <c r="E9" s="8"/>
      <c r="F9" s="8"/>
      <c r="G9" s="8"/>
      <c r="H9" s="8"/>
      <c r="I9" s="25"/>
      <c r="J9" s="8"/>
      <c r="K9" s="8"/>
      <c r="L9" s="8"/>
      <c r="M9" s="8"/>
      <c r="N9" s="8"/>
      <c r="O9" s="8"/>
    </row>
    <row r="10" spans="1:15" x14ac:dyDescent="0.25">
      <c r="A10" s="28" t="s">
        <v>16</v>
      </c>
      <c r="B10" s="87">
        <v>2000</v>
      </c>
      <c r="C10" s="31" t="s">
        <v>143</v>
      </c>
      <c r="D10" s="28"/>
      <c r="E10" s="28"/>
      <c r="F10" s="28"/>
      <c r="G10" s="28"/>
      <c r="H10" s="28"/>
      <c r="I10" s="29" t="s">
        <v>34</v>
      </c>
      <c r="J10" s="28" t="s">
        <v>34</v>
      </c>
      <c r="K10" s="28" t="s">
        <v>34</v>
      </c>
      <c r="L10" s="28" t="s">
        <v>34</v>
      </c>
      <c r="M10" s="28" t="s">
        <v>34</v>
      </c>
      <c r="N10" s="28" t="s">
        <v>34</v>
      </c>
      <c r="O10" s="28"/>
    </row>
    <row r="11" spans="1:15" x14ac:dyDescent="0.25">
      <c r="A11" s="28"/>
      <c r="B11" s="243">
        <v>200000000</v>
      </c>
      <c r="C11" s="31" t="s">
        <v>58</v>
      </c>
      <c r="D11" s="28"/>
      <c r="E11" s="28"/>
      <c r="F11" s="28"/>
      <c r="G11" s="28"/>
      <c r="H11" s="28"/>
      <c r="I11" s="29"/>
      <c r="J11" s="28"/>
      <c r="K11" s="28" t="s">
        <v>34</v>
      </c>
      <c r="L11" s="28"/>
      <c r="M11" s="28"/>
      <c r="N11" s="28"/>
      <c r="O11" s="28"/>
    </row>
    <row r="12" spans="1:15" x14ac:dyDescent="0.25">
      <c r="A12" s="28"/>
      <c r="B12" s="87">
        <v>95</v>
      </c>
      <c r="C12" s="31" t="s">
        <v>44</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42"/>
      <c r="J13" s="28"/>
      <c r="K13" s="28"/>
      <c r="L13" s="28"/>
      <c r="M13" s="28"/>
      <c r="N13" s="28"/>
      <c r="O13" s="28"/>
    </row>
    <row r="14" spans="1:15" x14ac:dyDescent="0.25">
      <c r="A14" s="28"/>
      <c r="B14" s="31">
        <v>100</v>
      </c>
      <c r="C14" s="87" t="s">
        <v>696</v>
      </c>
      <c r="D14" s="28"/>
      <c r="E14" s="28"/>
      <c r="F14" s="28"/>
      <c r="G14" s="28"/>
      <c r="H14" s="28"/>
      <c r="I14" s="242"/>
      <c r="J14" s="28"/>
      <c r="K14" s="28"/>
      <c r="L14" s="28"/>
      <c r="M14" s="28"/>
      <c r="N14" s="28"/>
      <c r="O14" s="28"/>
    </row>
    <row r="15" spans="1:15" x14ac:dyDescent="0.25">
      <c r="A15" s="28"/>
      <c r="B15" s="31">
        <v>0</v>
      </c>
      <c r="C15" s="87" t="s">
        <v>698</v>
      </c>
      <c r="D15" s="28"/>
      <c r="E15" s="28"/>
      <c r="F15" s="28"/>
      <c r="G15" s="28"/>
      <c r="H15" s="28"/>
      <c r="I15" s="242"/>
      <c r="J15" s="28"/>
      <c r="K15" s="28"/>
      <c r="L15" s="28"/>
      <c r="M15" s="28"/>
      <c r="N15" s="28"/>
      <c r="O15" s="28"/>
    </row>
    <row r="16" spans="1:15" x14ac:dyDescent="0.25">
      <c r="A16" s="28"/>
      <c r="B16" s="232">
        <f>(B12*B13/100*1000)/(B10+B12-B14+B15)*1000</f>
        <v>2857.1428571428573</v>
      </c>
      <c r="C16" s="28" t="s">
        <v>700</v>
      </c>
      <c r="D16" s="28"/>
      <c r="E16" s="28"/>
      <c r="F16" s="28"/>
      <c r="G16" s="28"/>
      <c r="H16" s="28"/>
      <c r="I16" s="242"/>
      <c r="J16" s="28"/>
      <c r="K16" s="28"/>
      <c r="L16" s="28"/>
      <c r="M16" s="28"/>
      <c r="N16" s="28"/>
      <c r="O16" s="28"/>
    </row>
    <row r="17" spans="1:19" ht="15.75" thickBot="1" x14ac:dyDescent="0.3">
      <c r="A17" s="28"/>
      <c r="B17" s="28"/>
      <c r="C17" s="28" t="s">
        <v>705</v>
      </c>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18</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7.1</v>
      </c>
      <c r="C19" s="23">
        <v>9.31</v>
      </c>
      <c r="D19" s="23">
        <v>9.06</v>
      </c>
      <c r="E19" s="23">
        <v>3.2</v>
      </c>
      <c r="F19" s="23">
        <v>1.89</v>
      </c>
      <c r="G19" s="23">
        <v>650</v>
      </c>
      <c r="H19" s="23">
        <v>3040</v>
      </c>
      <c r="I19" s="33">
        <v>12000000</v>
      </c>
      <c r="J19" s="125">
        <f>LOG(I$19)-LOG(I19)</f>
        <v>0</v>
      </c>
      <c r="K19" s="33">
        <v>74000000</v>
      </c>
      <c r="L19" s="23" t="s">
        <v>26</v>
      </c>
      <c r="M19" s="34"/>
      <c r="N19" s="34"/>
      <c r="O19" s="35"/>
      <c r="P19" s="233">
        <f>B$16*A19</f>
        <v>0</v>
      </c>
      <c r="Q19" s="233">
        <f>6/LINEST(J19:J22,P19:P22,FALSE)</f>
        <v>48199.247149905103</v>
      </c>
      <c r="R19" s="249">
        <f>Q19/3000</f>
        <v>16.066415716635035</v>
      </c>
      <c r="S19" s="233">
        <f>(J25/LINEST($J19:$J22,$P19:$P22,FALSE))/$B$16</f>
        <v>19.934405300414916</v>
      </c>
    </row>
    <row r="20" spans="1:19" ht="15.75" thickBot="1" x14ac:dyDescent="0.3">
      <c r="A20" s="32">
        <v>3</v>
      </c>
      <c r="B20" s="24">
        <v>7.9</v>
      </c>
      <c r="C20" s="24">
        <v>9.2799999999999994</v>
      </c>
      <c r="D20" s="24">
        <v>9.91</v>
      </c>
      <c r="E20" s="24">
        <v>2100</v>
      </c>
      <c r="F20" s="24">
        <v>1.37</v>
      </c>
      <c r="G20" s="24">
        <v>650</v>
      </c>
      <c r="H20" s="24">
        <v>3320</v>
      </c>
      <c r="I20" s="33">
        <v>1100000</v>
      </c>
      <c r="J20" s="125">
        <f>LOG(I$19)-LOG(I20)</f>
        <v>1.0377885608893997</v>
      </c>
      <c r="K20" s="33">
        <v>2000000</v>
      </c>
      <c r="L20" s="24">
        <v>1.57</v>
      </c>
      <c r="M20" s="35"/>
      <c r="N20" s="35"/>
      <c r="O20" s="35"/>
      <c r="P20" s="233">
        <f>B$16*A20</f>
        <v>8571.4285714285725</v>
      </c>
    </row>
    <row r="21" spans="1:19" ht="15.75" thickBot="1" x14ac:dyDescent="0.3">
      <c r="A21" s="32">
        <v>5</v>
      </c>
      <c r="B21" s="24">
        <v>7.9</v>
      </c>
      <c r="C21" s="24">
        <v>9.2799999999999994</v>
      </c>
      <c r="D21" s="24">
        <v>9.9600000000000009</v>
      </c>
      <c r="E21" s="24">
        <v>2200</v>
      </c>
      <c r="F21" s="24">
        <v>0.93</v>
      </c>
      <c r="G21" s="24">
        <v>600</v>
      </c>
      <c r="H21" s="24">
        <v>3390</v>
      </c>
      <c r="I21" s="33">
        <v>4100</v>
      </c>
      <c r="J21" s="125">
        <f>LOG(I$19)-LOG(I21)</f>
        <v>3.4663973893278897</v>
      </c>
      <c r="K21" s="24">
        <v>0</v>
      </c>
      <c r="L21" s="24" t="s">
        <v>145</v>
      </c>
      <c r="M21" s="35"/>
      <c r="N21" s="35"/>
      <c r="O21" s="35"/>
      <c r="P21" s="233">
        <f>B$16*A21</f>
        <v>14285.714285714286</v>
      </c>
    </row>
    <row r="22" spans="1:19" ht="15.75" thickBot="1" x14ac:dyDescent="0.3">
      <c r="A22" s="32">
        <v>15</v>
      </c>
      <c r="B22" s="24">
        <v>8.1</v>
      </c>
      <c r="C22" s="24">
        <v>9.2799999999999994</v>
      </c>
      <c r="D22" s="24">
        <v>9.81</v>
      </c>
      <c r="E22" s="24">
        <v>2100</v>
      </c>
      <c r="F22" s="24">
        <v>1.24</v>
      </c>
      <c r="G22" s="24">
        <v>600</v>
      </c>
      <c r="H22" s="24">
        <v>3070</v>
      </c>
      <c r="I22" s="24">
        <v>200</v>
      </c>
      <c r="J22" s="125">
        <f>LOG(I$19)-LOG(I22)</f>
        <v>4.7781512503836439</v>
      </c>
      <c r="K22" s="24">
        <v>0</v>
      </c>
      <c r="L22" s="24" t="s">
        <v>145</v>
      </c>
      <c r="M22" s="35"/>
      <c r="N22" s="35"/>
      <c r="O22" s="35"/>
      <c r="P22" s="233">
        <f>B$16*A22</f>
        <v>42857.142857142862</v>
      </c>
    </row>
    <row r="23" spans="1:19" ht="15.75" thickBot="1" x14ac:dyDescent="0.3">
      <c r="A23" s="32">
        <v>30</v>
      </c>
      <c r="B23" s="24">
        <v>8.3000000000000007</v>
      </c>
      <c r="C23" s="24">
        <v>9.27</v>
      </c>
      <c r="D23" s="24">
        <v>9.81</v>
      </c>
      <c r="E23" s="24">
        <v>2200</v>
      </c>
      <c r="F23" s="24">
        <v>0.74</v>
      </c>
      <c r="G23" s="24">
        <v>650</v>
      </c>
      <c r="H23" s="24">
        <v>3520</v>
      </c>
      <c r="I23" s="24">
        <v>0</v>
      </c>
      <c r="J23" s="24" t="s">
        <v>144</v>
      </c>
      <c r="K23" s="24">
        <v>0</v>
      </c>
      <c r="L23" s="24" t="s">
        <v>145</v>
      </c>
      <c r="M23" s="36">
        <v>479</v>
      </c>
      <c r="N23" s="36">
        <v>15560</v>
      </c>
      <c r="O23" s="36">
        <v>5592</v>
      </c>
      <c r="P23" s="233"/>
    </row>
    <row r="24" spans="1:19" ht="15.75" thickBot="1" x14ac:dyDescent="0.3">
      <c r="A24" s="32" t="s">
        <v>52</v>
      </c>
      <c r="B24" s="24">
        <v>8.3000000000000007</v>
      </c>
      <c r="C24" s="24">
        <v>9.27</v>
      </c>
      <c r="D24" s="24">
        <v>9.61</v>
      </c>
      <c r="E24" s="24">
        <v>2200</v>
      </c>
      <c r="F24" s="58">
        <v>0.63</v>
      </c>
      <c r="G24" s="24">
        <v>600</v>
      </c>
      <c r="H24" s="24">
        <v>3720</v>
      </c>
      <c r="I24" s="33">
        <v>31000</v>
      </c>
      <c r="J24" s="24" t="s">
        <v>150</v>
      </c>
      <c r="K24" s="24">
        <v>0</v>
      </c>
      <c r="L24" s="24" t="s">
        <v>145</v>
      </c>
      <c r="M24" s="36">
        <v>483</v>
      </c>
      <c r="N24" s="36">
        <v>15420</v>
      </c>
      <c r="O24" s="27"/>
    </row>
    <row r="25" spans="1:19" x14ac:dyDescent="0.25">
      <c r="A25" s="28"/>
      <c r="B25" s="28">
        <f>AVERAGE(B20)</f>
        <v>7.9</v>
      </c>
      <c r="C25" s="28">
        <f>AVERAGE(C20)</f>
        <v>9.2799999999999994</v>
      </c>
      <c r="D25" s="28"/>
      <c r="E25" s="28"/>
      <c r="F25" s="28"/>
      <c r="G25" s="28"/>
      <c r="H25" s="28"/>
      <c r="I25" s="29"/>
      <c r="J25" s="28">
        <v>7.09</v>
      </c>
      <c r="K25" s="28"/>
      <c r="L25" s="28"/>
      <c r="M25" s="28"/>
      <c r="N25" s="28"/>
      <c r="O25" s="28"/>
    </row>
    <row r="26" spans="1:19" x14ac:dyDescent="0.25">
      <c r="A26" s="28" t="s">
        <v>140</v>
      </c>
      <c r="B26" s="8"/>
      <c r="C26" s="8"/>
      <c r="D26" s="8"/>
      <c r="E26" s="8"/>
      <c r="F26" s="8"/>
      <c r="G26" s="8"/>
      <c r="H26" s="8"/>
      <c r="I26" s="25"/>
      <c r="J26" s="8"/>
      <c r="K26" s="8"/>
      <c r="L26" s="8"/>
      <c r="M26" s="8"/>
      <c r="N26" s="28"/>
      <c r="O26" s="8"/>
    </row>
    <row r="27" spans="1:19" x14ac:dyDescent="0.25">
      <c r="A27" s="28"/>
      <c r="B27" s="28" t="s">
        <v>141</v>
      </c>
      <c r="C27" s="8"/>
      <c r="D27" s="8"/>
      <c r="E27" s="8"/>
      <c r="F27" s="8"/>
      <c r="G27" s="8"/>
      <c r="H27" s="8"/>
      <c r="I27" s="25"/>
      <c r="J27" s="8"/>
      <c r="K27" s="8"/>
      <c r="L27" s="8"/>
      <c r="M27" s="8"/>
      <c r="N27" s="28"/>
      <c r="O27" s="8"/>
    </row>
    <row r="28" spans="1:19" x14ac:dyDescent="0.25">
      <c r="A28" s="28" t="s">
        <v>53</v>
      </c>
      <c r="B28" s="28"/>
      <c r="C28" s="28"/>
      <c r="D28" s="28"/>
      <c r="E28" s="28"/>
      <c r="F28" s="28"/>
      <c r="G28" s="28"/>
      <c r="H28" s="28"/>
      <c r="I28" s="29"/>
      <c r="J28" s="28"/>
      <c r="K28" s="28"/>
      <c r="L28" s="28" t="s">
        <v>34</v>
      </c>
      <c r="M28" s="28"/>
      <c r="N28" s="28"/>
      <c r="O28" s="28"/>
    </row>
    <row r="29" spans="1:19" x14ac:dyDescent="0.25">
      <c r="A29" s="59" t="s">
        <v>162</v>
      </c>
      <c r="F29" s="28"/>
      <c r="G29" s="28"/>
      <c r="H29" s="28"/>
      <c r="I29" s="29"/>
      <c r="J29" s="28"/>
      <c r="K29" s="28"/>
      <c r="L29" s="28"/>
      <c r="M29" s="28"/>
      <c r="N29" s="28"/>
      <c r="O29" s="28"/>
    </row>
    <row r="30" spans="1:19" x14ac:dyDescent="0.25">
      <c r="A30" s="59"/>
      <c r="B30" s="41" t="s">
        <v>163</v>
      </c>
      <c r="F30" s="28"/>
      <c r="G30" s="28"/>
      <c r="H30" s="28"/>
      <c r="I30" s="29"/>
      <c r="J30" s="28"/>
      <c r="K30" s="28"/>
      <c r="L30" s="28"/>
      <c r="M30" s="28"/>
      <c r="N30" s="28"/>
      <c r="O30" s="28"/>
    </row>
    <row r="31" spans="1:19" x14ac:dyDescent="0.25">
      <c r="A31" s="59"/>
      <c r="B31" s="41" t="s">
        <v>164</v>
      </c>
      <c r="F31" s="28"/>
      <c r="G31" s="28"/>
      <c r="H31" s="28"/>
      <c r="I31" s="29"/>
      <c r="J31" s="28"/>
      <c r="K31" s="28"/>
      <c r="L31" s="28"/>
      <c r="M31" s="28"/>
      <c r="N31" s="28"/>
      <c r="O31" s="28"/>
    </row>
    <row r="32" spans="1:19" x14ac:dyDescent="0.25">
      <c r="A32" s="62" t="s">
        <v>165</v>
      </c>
      <c r="B32" s="41"/>
      <c r="F32" s="28"/>
      <c r="G32" s="28"/>
      <c r="H32" s="28"/>
      <c r="I32" s="29"/>
      <c r="J32" s="28"/>
      <c r="K32" s="28"/>
      <c r="L32" s="28"/>
      <c r="M32" s="28"/>
      <c r="N32" s="28"/>
      <c r="O32" s="28"/>
    </row>
    <row r="33" spans="1:15" x14ac:dyDescent="0.25">
      <c r="A33" s="62"/>
      <c r="B33" s="41" t="s">
        <v>448</v>
      </c>
      <c r="F33" s="28"/>
      <c r="G33" s="28"/>
      <c r="H33" s="28"/>
      <c r="I33" s="29"/>
      <c r="J33" s="28"/>
      <c r="K33" s="28"/>
      <c r="L33" s="28"/>
      <c r="M33" s="28"/>
      <c r="N33" s="28"/>
      <c r="O33" s="28"/>
    </row>
    <row r="34" spans="1:15" x14ac:dyDescent="0.25">
      <c r="A34" s="62"/>
      <c r="B34" s="189" t="s">
        <v>784</v>
      </c>
      <c r="F34" s="28"/>
      <c r="G34" s="28"/>
      <c r="H34" s="28"/>
      <c r="I34" s="29"/>
      <c r="J34" s="28"/>
      <c r="K34" s="28"/>
      <c r="L34" s="28"/>
      <c r="M34" s="28"/>
      <c r="N34" s="28"/>
      <c r="O34" s="28"/>
    </row>
    <row r="35" spans="1:15" x14ac:dyDescent="0.25">
      <c r="A35" s="28"/>
      <c r="B35" s="28"/>
      <c r="C35" s="28"/>
      <c r="D35" s="28"/>
      <c r="E35" s="28"/>
      <c r="F35" s="28"/>
      <c r="G35" s="28"/>
      <c r="H35" s="28"/>
      <c r="I35" s="29"/>
      <c r="J35" s="28"/>
      <c r="K35" s="28"/>
      <c r="L35" s="28"/>
      <c r="M35" s="28"/>
      <c r="N35" s="28"/>
      <c r="O35" s="28"/>
    </row>
    <row r="36" spans="1:15" x14ac:dyDescent="0.25">
      <c r="A36" s="19" t="s">
        <v>28</v>
      </c>
      <c r="B36" s="28"/>
      <c r="C36" s="28"/>
      <c r="D36" s="28"/>
      <c r="E36" s="28"/>
      <c r="F36" s="28"/>
      <c r="G36" s="28"/>
      <c r="H36" s="28"/>
      <c r="I36" s="29"/>
      <c r="J36" s="28"/>
      <c r="K36" s="28"/>
      <c r="L36" s="28"/>
      <c r="M36" s="28"/>
      <c r="N36" s="28"/>
      <c r="O36" s="28"/>
    </row>
    <row r="37" spans="1:15" x14ac:dyDescent="0.25">
      <c r="A37" s="28"/>
      <c r="B37" s="22"/>
      <c r="C37" s="28"/>
      <c r="D37" s="28"/>
      <c r="E37" s="28"/>
      <c r="F37" s="28"/>
      <c r="G37" s="28"/>
      <c r="H37" s="28"/>
      <c r="I37" s="29"/>
      <c r="J37" s="28"/>
      <c r="K37" s="28"/>
      <c r="L37" s="28"/>
      <c r="M37" s="28"/>
      <c r="N37" s="28"/>
      <c r="O37" s="28"/>
    </row>
    <row r="38" spans="1:15" x14ac:dyDescent="0.25">
      <c r="A38" s="28"/>
      <c r="B38" s="41" t="s">
        <v>161</v>
      </c>
      <c r="C38" s="41"/>
      <c r="D38" s="41"/>
      <c r="E38" s="41"/>
      <c r="F38" s="41"/>
      <c r="G38" s="41"/>
      <c r="H38" s="41"/>
      <c r="I38" s="41"/>
      <c r="J38" s="41"/>
      <c r="K38" s="41"/>
      <c r="L38" s="41"/>
      <c r="N38" s="28"/>
      <c r="O38" s="28"/>
    </row>
    <row r="39" spans="1:15" x14ac:dyDescent="0.25">
      <c r="A39" s="28"/>
      <c r="B39" s="41" t="s">
        <v>159</v>
      </c>
      <c r="C39" s="41"/>
      <c r="D39" s="41"/>
      <c r="E39" s="41"/>
      <c r="F39" s="41"/>
      <c r="G39" s="41"/>
      <c r="H39" s="41"/>
      <c r="I39" s="41"/>
      <c r="J39" s="41"/>
      <c r="K39" s="41"/>
      <c r="L39" s="41"/>
      <c r="N39" s="28"/>
      <c r="O39" s="28"/>
    </row>
    <row r="40" spans="1:15" x14ac:dyDescent="0.25">
      <c r="A40" s="28"/>
      <c r="B40" s="22" t="s">
        <v>146</v>
      </c>
      <c r="C40" s="8"/>
      <c r="D40" s="8"/>
      <c r="E40" s="8"/>
      <c r="F40" s="8"/>
      <c r="G40" s="8"/>
      <c r="H40" s="8"/>
      <c r="I40" s="25"/>
      <c r="J40" s="8"/>
      <c r="K40" s="8"/>
      <c r="L40" s="28"/>
      <c r="M40" s="28"/>
      <c r="N40" s="28"/>
      <c r="O40" s="28"/>
    </row>
    <row r="41" spans="1:15" x14ac:dyDescent="0.25">
      <c r="A41" s="28"/>
      <c r="B41" s="22" t="s">
        <v>156</v>
      </c>
      <c r="C41" s="8"/>
      <c r="D41" s="8"/>
      <c r="E41" s="8"/>
      <c r="F41" s="8"/>
      <c r="G41" s="8"/>
      <c r="H41" s="8"/>
      <c r="I41" s="25"/>
      <c r="J41" s="8"/>
      <c r="K41" s="8"/>
      <c r="L41" s="28"/>
      <c r="M41" s="28"/>
      <c r="N41" s="28"/>
      <c r="O41" s="28"/>
    </row>
    <row r="42" spans="1:15" x14ac:dyDescent="0.25">
      <c r="A42" s="28"/>
      <c r="B42" s="20" t="s">
        <v>36</v>
      </c>
      <c r="C42" s="8"/>
      <c r="D42" s="8"/>
      <c r="E42" s="8"/>
      <c r="F42" s="8"/>
      <c r="G42" s="8"/>
      <c r="H42" s="8"/>
      <c r="I42" s="25"/>
      <c r="J42" s="8"/>
      <c r="K42" s="8"/>
      <c r="L42" s="28"/>
      <c r="M42" s="28"/>
      <c r="N42" s="28"/>
      <c r="O42" s="28"/>
    </row>
    <row r="43" spans="1:15" x14ac:dyDescent="0.25">
      <c r="A43" s="28"/>
      <c r="B43" s="22" t="s">
        <v>133</v>
      </c>
      <c r="L43" s="28"/>
      <c r="M43" s="28"/>
      <c r="N43" s="28"/>
      <c r="O43" s="28"/>
    </row>
    <row r="44" spans="1:15" x14ac:dyDescent="0.25">
      <c r="A44" s="28"/>
      <c r="L44" s="28"/>
      <c r="M44" s="28"/>
      <c r="N44" s="28"/>
      <c r="O44" s="28"/>
    </row>
    <row r="45" spans="1:15" x14ac:dyDescent="0.25">
      <c r="A45" s="28"/>
      <c r="B45" s="22" t="s">
        <v>147</v>
      </c>
      <c r="C45" s="21"/>
      <c r="D45" s="21"/>
      <c r="E45" s="8"/>
      <c r="F45" s="8"/>
      <c r="G45" s="8"/>
      <c r="H45" s="8"/>
      <c r="I45" s="25"/>
      <c r="J45" s="8"/>
      <c r="K45" s="8"/>
      <c r="M45" s="28"/>
      <c r="N45" s="28"/>
      <c r="O45" s="28"/>
    </row>
    <row r="46" spans="1:15" x14ac:dyDescent="0.25">
      <c r="A46" s="28"/>
      <c r="B46" s="37" t="s">
        <v>148</v>
      </c>
      <c r="C46" s="21"/>
      <c r="D46" s="8"/>
      <c r="E46" s="8"/>
      <c r="F46" s="8"/>
      <c r="G46" s="8"/>
      <c r="H46" s="25"/>
      <c r="I46" s="8"/>
      <c r="J46" s="8"/>
      <c r="K46" s="8"/>
      <c r="M46" s="28" t="s">
        <v>34</v>
      </c>
      <c r="N46" s="28"/>
      <c r="O46" s="28"/>
    </row>
    <row r="47" spans="1:15" ht="17.25" x14ac:dyDescent="0.25">
      <c r="A47" s="28"/>
      <c r="B47" s="61" t="s">
        <v>160</v>
      </c>
      <c r="L47" s="28"/>
      <c r="M47" s="28"/>
      <c r="N47" s="28"/>
      <c r="O47" s="28"/>
    </row>
    <row r="48" spans="1:15" x14ac:dyDescent="0.25">
      <c r="B48" s="22" t="s">
        <v>149</v>
      </c>
      <c r="C48" s="8"/>
      <c r="D48" s="8"/>
      <c r="E48" s="8"/>
      <c r="F48" s="8"/>
      <c r="G48" s="8"/>
      <c r="H48" s="8"/>
      <c r="I48" s="25"/>
      <c r="J48" s="8"/>
      <c r="K48" s="8"/>
      <c r="L48" s="28"/>
      <c r="M48" s="28" t="s">
        <v>34</v>
      </c>
    </row>
    <row r="49" spans="2:13" x14ac:dyDescent="0.25">
      <c r="M49" s="28"/>
    </row>
    <row r="50" spans="2:13" x14ac:dyDescent="0.25">
      <c r="B50" s="41" t="s">
        <v>154</v>
      </c>
      <c r="C50" s="41"/>
      <c r="D50" s="41"/>
      <c r="E50" s="41"/>
      <c r="F50" s="41"/>
      <c r="G50" s="41"/>
      <c r="H50" s="41"/>
      <c r="I50" s="41"/>
      <c r="J50" s="41"/>
      <c r="K50" s="41"/>
    </row>
    <row r="51" spans="2:13" x14ac:dyDescent="0.25">
      <c r="B51" s="41" t="s">
        <v>155</v>
      </c>
      <c r="C51" s="41"/>
      <c r="D51" s="41"/>
      <c r="E51" s="41"/>
      <c r="F51" s="41"/>
      <c r="G51" s="41"/>
      <c r="H51" s="41"/>
      <c r="I51" s="41"/>
      <c r="J51" s="41"/>
      <c r="K51" s="41"/>
    </row>
    <row r="52" spans="2:13" x14ac:dyDescent="0.25">
      <c r="B52" s="22" t="s">
        <v>157</v>
      </c>
      <c r="C52" s="28"/>
      <c r="D52" s="28"/>
      <c r="E52" s="28"/>
      <c r="F52" s="28"/>
      <c r="G52" s="28"/>
      <c r="H52" s="29"/>
      <c r="I52" s="28"/>
      <c r="J52" s="41"/>
      <c r="K52" s="28"/>
    </row>
  </sheetData>
  <pageMargins left="0.7" right="0.7" top="0.75" bottom="0.75" header="0.3" footer="0.3"/>
  <pageSetup scale="60" orientation="landscape" verticalDpi="597"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B050"/>
    <pageSetUpPr fitToPage="1"/>
  </sheetPr>
  <dimension ref="A6:S50"/>
  <sheetViews>
    <sheetView zoomScale="90" zoomScaleNormal="90" workbookViewId="0"/>
  </sheetViews>
  <sheetFormatPr defaultRowHeight="15" x14ac:dyDescent="0.25"/>
  <cols>
    <col min="2" max="2" width="9.5703125"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40938</v>
      </c>
      <c r="C7" s="28"/>
      <c r="D7" s="28"/>
      <c r="E7" s="28"/>
      <c r="F7" s="28"/>
      <c r="G7" s="28"/>
      <c r="H7" s="28"/>
      <c r="I7" s="29"/>
      <c r="J7" s="28"/>
      <c r="K7" s="28"/>
      <c r="L7" s="28"/>
      <c r="M7" s="28"/>
      <c r="N7" s="28"/>
      <c r="O7" s="28"/>
    </row>
    <row r="8" spans="1:15" x14ac:dyDescent="0.25">
      <c r="A8" s="28" t="s">
        <v>14</v>
      </c>
      <c r="B8" s="28">
        <v>8</v>
      </c>
      <c r="C8" s="28" t="s">
        <v>478</v>
      </c>
      <c r="D8" s="28"/>
      <c r="E8" s="28"/>
      <c r="F8" s="28"/>
      <c r="G8" s="28"/>
      <c r="H8" s="28"/>
      <c r="I8" s="29"/>
      <c r="J8" s="28"/>
      <c r="K8" s="28" t="s">
        <v>34</v>
      </c>
      <c r="L8" s="28" t="s">
        <v>34</v>
      </c>
      <c r="M8" s="28"/>
      <c r="N8" s="28"/>
      <c r="O8" s="28"/>
    </row>
    <row r="9" spans="1:15" x14ac:dyDescent="0.25">
      <c r="A9" s="8" t="s">
        <v>15</v>
      </c>
      <c r="B9" s="8">
        <v>3</v>
      </c>
      <c r="C9" s="19" t="s">
        <v>125</v>
      </c>
      <c r="D9" s="8"/>
      <c r="E9" s="8"/>
      <c r="F9" s="8"/>
      <c r="G9" s="8"/>
      <c r="H9" s="8"/>
      <c r="I9" s="25"/>
      <c r="J9" s="8"/>
      <c r="K9" s="8"/>
      <c r="L9" s="8"/>
      <c r="M9" s="8"/>
      <c r="N9" s="8"/>
      <c r="O9" s="8"/>
    </row>
    <row r="10" spans="1:15" x14ac:dyDescent="0.25">
      <c r="A10" s="28" t="s">
        <v>16</v>
      </c>
      <c r="B10" s="87">
        <v>2000</v>
      </c>
      <c r="C10" s="31" t="s">
        <v>143</v>
      </c>
      <c r="D10" s="28"/>
      <c r="E10" s="28"/>
      <c r="F10" s="28"/>
      <c r="G10" s="28"/>
      <c r="H10" s="28"/>
      <c r="I10" s="29" t="s">
        <v>34</v>
      </c>
      <c r="J10" s="28" t="s">
        <v>34</v>
      </c>
      <c r="K10" s="28" t="s">
        <v>34</v>
      </c>
      <c r="L10" s="28" t="s">
        <v>34</v>
      </c>
      <c r="M10" s="28" t="s">
        <v>34</v>
      </c>
      <c r="N10" s="28" t="s">
        <v>34</v>
      </c>
      <c r="O10" s="28"/>
    </row>
    <row r="11" spans="1:15" x14ac:dyDescent="0.25">
      <c r="A11" s="28"/>
      <c r="B11" s="243">
        <v>200000000</v>
      </c>
      <c r="C11" s="31" t="s">
        <v>58</v>
      </c>
      <c r="D11" s="28"/>
      <c r="E11" s="28"/>
      <c r="F11" s="28"/>
      <c r="G11" s="28"/>
      <c r="H11" s="28"/>
      <c r="I11" s="29"/>
      <c r="J11" s="28"/>
      <c r="K11" s="28" t="s">
        <v>34</v>
      </c>
      <c r="L11" s="28"/>
      <c r="M11" s="28"/>
      <c r="N11" s="28"/>
      <c r="O11" s="28"/>
    </row>
    <row r="12" spans="1:15" x14ac:dyDescent="0.25">
      <c r="A12" s="28"/>
      <c r="B12" s="87">
        <v>95</v>
      </c>
      <c r="C12" s="31" t="s">
        <v>44</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42"/>
      <c r="J13" s="28"/>
      <c r="K13" s="28"/>
      <c r="L13" s="28"/>
      <c r="M13" s="28"/>
      <c r="N13" s="28"/>
      <c r="O13" s="28"/>
    </row>
    <row r="14" spans="1:15" x14ac:dyDescent="0.25">
      <c r="A14" s="28"/>
      <c r="B14" s="31">
        <v>100</v>
      </c>
      <c r="C14" s="87" t="s">
        <v>696</v>
      </c>
      <c r="D14" s="28"/>
      <c r="E14" s="28"/>
      <c r="F14" s="28"/>
      <c r="G14" s="28"/>
      <c r="H14" s="28"/>
      <c r="I14" s="242"/>
      <c r="J14" s="28"/>
      <c r="K14" s="28"/>
      <c r="L14" s="28"/>
      <c r="M14" s="28"/>
      <c r="N14" s="28"/>
      <c r="O14" s="28"/>
    </row>
    <row r="15" spans="1:15" x14ac:dyDescent="0.25">
      <c r="A15" s="28"/>
      <c r="B15" s="31">
        <v>0</v>
      </c>
      <c r="C15" s="87" t="s">
        <v>698</v>
      </c>
      <c r="D15" s="28"/>
      <c r="E15" s="28"/>
      <c r="F15" s="28"/>
      <c r="G15" s="28"/>
      <c r="H15" s="28"/>
      <c r="I15" s="242"/>
      <c r="J15" s="28"/>
      <c r="K15" s="28"/>
      <c r="L15" s="28"/>
      <c r="M15" s="28"/>
      <c r="N15" s="28"/>
      <c r="O15" s="28"/>
    </row>
    <row r="16" spans="1:15" x14ac:dyDescent="0.25">
      <c r="A16" s="28"/>
      <c r="B16" s="232">
        <f>(B12*B13/100*1000)/(B10+B12-B14+B15)*1000</f>
        <v>2857.1428571428573</v>
      </c>
      <c r="C16" s="28" t="s">
        <v>700</v>
      </c>
      <c r="D16" s="28"/>
      <c r="E16" s="28"/>
      <c r="F16" s="28"/>
      <c r="G16" s="28"/>
      <c r="H16" s="28"/>
      <c r="I16" s="242"/>
      <c r="J16" s="28"/>
      <c r="K16" s="28"/>
      <c r="L16" s="28"/>
      <c r="M16" s="28"/>
      <c r="N16" s="28"/>
      <c r="O16" s="28"/>
    </row>
    <row r="17" spans="1:19" ht="15.75" thickBot="1" x14ac:dyDescent="0.3">
      <c r="A17" s="28"/>
      <c r="B17" s="28"/>
      <c r="C17" s="28" t="s">
        <v>705</v>
      </c>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18</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5.8</v>
      </c>
      <c r="C19" s="23">
        <v>9.34</v>
      </c>
      <c r="D19" s="23">
        <v>9.34</v>
      </c>
      <c r="E19" s="23">
        <v>0.87</v>
      </c>
      <c r="F19" s="23">
        <v>0.6</v>
      </c>
      <c r="G19" s="23">
        <v>750</v>
      </c>
      <c r="H19" s="23">
        <v>4140</v>
      </c>
      <c r="I19" s="33">
        <v>13000000</v>
      </c>
      <c r="J19" s="125">
        <f>LOG(I$19)-LOG(I19)</f>
        <v>0</v>
      </c>
      <c r="K19" s="33">
        <v>74000000</v>
      </c>
      <c r="L19" s="23" t="s">
        <v>26</v>
      </c>
      <c r="M19" s="34"/>
      <c r="N19" s="34"/>
      <c r="O19" s="35"/>
      <c r="P19" s="233">
        <f>B$16*A19</f>
        <v>0</v>
      </c>
      <c r="Q19" s="233">
        <f>6/LINEST(J19:J22,P19:P22,FALSE)</f>
        <v>32487.523409810412</v>
      </c>
      <c r="R19" s="249">
        <f>Q19/3000</f>
        <v>10.829174469936804</v>
      </c>
      <c r="S19" s="233">
        <f>(J26/LINEST($J19:$J22,$P19:$P22,FALSE))/$B$16</f>
        <v>13.474200334218867</v>
      </c>
    </row>
    <row r="20" spans="1:19" ht="15.75" thickBot="1" x14ac:dyDescent="0.3">
      <c r="A20" s="32">
        <v>3</v>
      </c>
      <c r="B20" s="24">
        <v>6.4</v>
      </c>
      <c r="C20" s="24">
        <v>9.34</v>
      </c>
      <c r="D20" s="24">
        <v>9.94</v>
      </c>
      <c r="E20" s="24">
        <v>2000</v>
      </c>
      <c r="F20" s="24">
        <v>0.6</v>
      </c>
      <c r="G20" s="24">
        <v>650</v>
      </c>
      <c r="H20" s="24">
        <v>4130</v>
      </c>
      <c r="I20" s="33">
        <v>2900000</v>
      </c>
      <c r="J20" s="125">
        <f>LOG(I$19)-LOG(I20)</f>
        <v>0.65154535440788042</v>
      </c>
      <c r="K20" s="33">
        <v>6500000</v>
      </c>
      <c r="L20" s="24">
        <v>1.06</v>
      </c>
      <c r="M20" s="35"/>
      <c r="N20" s="35"/>
      <c r="O20" s="35"/>
      <c r="P20" s="233">
        <f>B$16*A20</f>
        <v>8571.4285714285725</v>
      </c>
    </row>
    <row r="21" spans="1:19" ht="15.75" thickBot="1" x14ac:dyDescent="0.3">
      <c r="A21" s="32">
        <v>5</v>
      </c>
      <c r="B21" s="24">
        <v>6.9</v>
      </c>
      <c r="C21" s="24">
        <v>9.34</v>
      </c>
      <c r="D21" s="24">
        <v>10.06</v>
      </c>
      <c r="E21" s="24">
        <v>2100</v>
      </c>
      <c r="F21" s="24">
        <v>0.48</v>
      </c>
      <c r="G21" s="24">
        <v>650</v>
      </c>
      <c r="H21" s="24">
        <v>4300</v>
      </c>
      <c r="I21" s="33">
        <v>3900</v>
      </c>
      <c r="J21" s="125">
        <f>LOG(I$19)-LOG(I21)</f>
        <v>3.5228787452803378</v>
      </c>
      <c r="K21" s="24">
        <v>0</v>
      </c>
      <c r="L21" s="24" t="s">
        <v>145</v>
      </c>
      <c r="M21" s="35"/>
      <c r="N21" s="35"/>
      <c r="O21" s="35"/>
      <c r="P21" s="233">
        <f>B$16*A21</f>
        <v>14285.714285714286</v>
      </c>
    </row>
    <row r="22" spans="1:19" ht="15.75" thickBot="1" x14ac:dyDescent="0.3">
      <c r="A22" s="32">
        <v>10</v>
      </c>
      <c r="B22" s="24">
        <v>6.7</v>
      </c>
      <c r="C22" s="24">
        <v>9.35</v>
      </c>
      <c r="D22" s="24">
        <v>10.06</v>
      </c>
      <c r="E22" s="24">
        <v>2100</v>
      </c>
      <c r="F22" s="24">
        <v>0.49</v>
      </c>
      <c r="G22" s="24">
        <v>650</v>
      </c>
      <c r="H22" s="24">
        <v>4170</v>
      </c>
      <c r="I22" s="63">
        <v>100</v>
      </c>
      <c r="J22" s="125">
        <f>LOG(I$19)-LOG(I22)</f>
        <v>5.1139433523068369</v>
      </c>
      <c r="K22" s="24">
        <v>0</v>
      </c>
      <c r="L22" s="24" t="s">
        <v>145</v>
      </c>
      <c r="M22" s="35"/>
      <c r="N22" s="35"/>
      <c r="O22" s="35"/>
      <c r="P22" s="233">
        <f>B$16*A22</f>
        <v>28571.428571428572</v>
      </c>
    </row>
    <row r="23" spans="1:19" ht="15.75" thickBot="1" x14ac:dyDescent="0.3">
      <c r="A23" s="32">
        <v>15</v>
      </c>
      <c r="B23" s="24">
        <v>6.8</v>
      </c>
      <c r="C23" s="24">
        <v>9.36</v>
      </c>
      <c r="D23" s="24">
        <v>10.06</v>
      </c>
      <c r="E23" s="24">
        <v>2100</v>
      </c>
      <c r="F23" s="24">
        <v>0.49</v>
      </c>
      <c r="G23" s="24">
        <v>600</v>
      </c>
      <c r="H23" s="24">
        <v>4120</v>
      </c>
      <c r="I23" s="33">
        <v>0</v>
      </c>
      <c r="J23" s="24" t="s">
        <v>166</v>
      </c>
      <c r="K23" s="24">
        <v>0</v>
      </c>
      <c r="L23" s="24" t="s">
        <v>145</v>
      </c>
      <c r="M23" s="35"/>
      <c r="N23" s="35"/>
      <c r="O23" s="35"/>
      <c r="P23" s="233"/>
    </row>
    <row r="24" spans="1:19" ht="15.75" thickBot="1" x14ac:dyDescent="0.3">
      <c r="A24" s="32">
        <v>30</v>
      </c>
      <c r="B24" s="24">
        <v>7.3</v>
      </c>
      <c r="C24" s="24">
        <v>9.36</v>
      </c>
      <c r="D24" s="24">
        <v>10.08</v>
      </c>
      <c r="E24" s="24">
        <v>1900</v>
      </c>
      <c r="F24" s="24">
        <v>0.35</v>
      </c>
      <c r="G24" s="24">
        <v>650</v>
      </c>
      <c r="H24" s="24">
        <v>4050</v>
      </c>
      <c r="I24" s="33">
        <v>0</v>
      </c>
      <c r="J24" s="24" t="s">
        <v>166</v>
      </c>
      <c r="K24" s="24">
        <v>0</v>
      </c>
      <c r="L24" s="24" t="s">
        <v>145</v>
      </c>
      <c r="M24" s="36">
        <v>490</v>
      </c>
      <c r="N24" s="36">
        <v>15600</v>
      </c>
      <c r="O24" s="36">
        <v>5000</v>
      </c>
      <c r="P24" s="233"/>
    </row>
    <row r="25" spans="1:19" ht="15.75" thickBot="1" x14ac:dyDescent="0.3">
      <c r="A25" s="32" t="s">
        <v>52</v>
      </c>
      <c r="B25" s="24">
        <v>7.3</v>
      </c>
      <c r="C25" s="24">
        <v>9.36</v>
      </c>
      <c r="D25" s="24">
        <v>10.08</v>
      </c>
      <c r="E25" s="24">
        <v>2100</v>
      </c>
      <c r="F25" s="58">
        <v>0.52</v>
      </c>
      <c r="G25" s="24">
        <v>650</v>
      </c>
      <c r="H25" s="24">
        <v>4080</v>
      </c>
      <c r="I25" s="33">
        <v>0</v>
      </c>
      <c r="J25" s="24" t="s">
        <v>166</v>
      </c>
      <c r="K25" s="24">
        <v>0</v>
      </c>
      <c r="L25" s="24" t="s">
        <v>145</v>
      </c>
      <c r="M25" s="36">
        <v>490</v>
      </c>
      <c r="N25" s="36">
        <v>15590</v>
      </c>
      <c r="O25" s="27"/>
    </row>
    <row r="26" spans="1:19" x14ac:dyDescent="0.25">
      <c r="A26" s="28"/>
      <c r="B26" s="28">
        <f>AVERAGE(B20:B21)</f>
        <v>6.65</v>
      </c>
      <c r="C26" s="28">
        <f>AVERAGE(C20:C21)</f>
        <v>9.34</v>
      </c>
      <c r="D26" s="28"/>
      <c r="E26" s="28"/>
      <c r="F26" s="28"/>
      <c r="G26" s="28"/>
      <c r="H26" s="28"/>
      <c r="I26" s="29"/>
      <c r="J26" s="28">
        <v>7.11</v>
      </c>
      <c r="K26" s="28"/>
      <c r="L26" s="28"/>
      <c r="M26" s="28"/>
      <c r="N26" s="28"/>
      <c r="O26" s="28"/>
    </row>
    <row r="27" spans="1:19" x14ac:dyDescent="0.25">
      <c r="A27" s="28" t="s">
        <v>140</v>
      </c>
      <c r="B27" s="8"/>
      <c r="C27" s="8"/>
      <c r="D27" s="8"/>
      <c r="E27" s="8"/>
      <c r="F27" s="8"/>
      <c r="G27" s="8"/>
      <c r="H27" s="8"/>
      <c r="I27" s="25"/>
      <c r="J27" s="8"/>
      <c r="K27" s="8"/>
      <c r="L27" s="8"/>
      <c r="M27" s="8"/>
      <c r="N27" s="28"/>
      <c r="O27" s="8"/>
    </row>
    <row r="28" spans="1:19" x14ac:dyDescent="0.25">
      <c r="A28" s="28"/>
      <c r="B28" s="28" t="s">
        <v>141</v>
      </c>
      <c r="C28" s="8"/>
      <c r="D28" s="8"/>
      <c r="E28" s="8"/>
      <c r="F28" s="8"/>
      <c r="G28" s="8"/>
      <c r="H28" s="8"/>
      <c r="I28" s="25"/>
      <c r="J28" s="8"/>
      <c r="K28" s="8"/>
      <c r="L28" s="8"/>
      <c r="M28" s="8"/>
      <c r="N28" s="28"/>
      <c r="O28" s="8"/>
    </row>
    <row r="29" spans="1:19" x14ac:dyDescent="0.25">
      <c r="A29" s="28" t="s">
        <v>53</v>
      </c>
      <c r="B29" s="28"/>
      <c r="C29" s="28"/>
      <c r="D29" s="28"/>
      <c r="E29" s="28"/>
      <c r="F29" s="28"/>
      <c r="G29" s="28"/>
      <c r="H29" s="28"/>
      <c r="I29" s="29"/>
      <c r="J29" s="28"/>
      <c r="K29" s="28"/>
      <c r="L29" s="28" t="s">
        <v>34</v>
      </c>
      <c r="M29" s="28"/>
      <c r="N29" s="28" t="s">
        <v>34</v>
      </c>
      <c r="O29" s="28"/>
    </row>
    <row r="30" spans="1:19" x14ac:dyDescent="0.25">
      <c r="A30" s="59"/>
      <c r="F30" s="28"/>
      <c r="G30" s="28"/>
      <c r="H30" s="28"/>
      <c r="I30" s="29"/>
      <c r="J30" s="28"/>
      <c r="K30" s="28"/>
      <c r="L30" s="28" t="s">
        <v>34</v>
      </c>
      <c r="M30" s="28"/>
      <c r="N30" s="28"/>
      <c r="O30" s="28"/>
    </row>
    <row r="31" spans="1:19" x14ac:dyDescent="0.25">
      <c r="A31" s="19" t="s">
        <v>28</v>
      </c>
      <c r="B31" s="28"/>
      <c r="C31" s="28"/>
      <c r="D31" s="28"/>
      <c r="E31" s="28"/>
      <c r="F31" s="28"/>
      <c r="G31" s="28"/>
      <c r="H31" s="28"/>
      <c r="I31" s="29"/>
      <c r="J31" s="28"/>
      <c r="K31" s="28"/>
      <c r="L31" s="28"/>
      <c r="M31" s="28"/>
      <c r="N31" s="28"/>
      <c r="O31" s="28"/>
    </row>
    <row r="32" spans="1:19" x14ac:dyDescent="0.25">
      <c r="A32" s="28"/>
      <c r="B32" s="22"/>
      <c r="C32" s="28"/>
      <c r="D32" s="28"/>
      <c r="E32" s="28"/>
      <c r="F32" s="28"/>
      <c r="G32" s="28"/>
      <c r="H32" s="28"/>
      <c r="I32" s="29"/>
      <c r="J32" s="28"/>
      <c r="K32" s="28"/>
      <c r="L32" s="28"/>
      <c r="M32" s="28"/>
      <c r="N32" s="28"/>
      <c r="O32" s="28"/>
    </row>
    <row r="33" spans="1:15" x14ac:dyDescent="0.25">
      <c r="A33" s="28"/>
      <c r="B33" s="41" t="s">
        <v>167</v>
      </c>
      <c r="C33" s="41"/>
      <c r="D33" s="41"/>
      <c r="E33" s="41"/>
      <c r="F33" s="41"/>
      <c r="G33" s="41"/>
      <c r="H33" s="41"/>
      <c r="I33" s="41"/>
      <c r="J33" s="41"/>
      <c r="K33" s="41"/>
      <c r="L33" s="41"/>
      <c r="M33" s="28"/>
      <c r="N33" s="28"/>
      <c r="O33" s="28"/>
    </row>
    <row r="34" spans="1:15" x14ac:dyDescent="0.25">
      <c r="A34" s="28"/>
      <c r="B34" s="41" t="s">
        <v>168</v>
      </c>
      <c r="C34" s="41"/>
      <c r="D34" s="41"/>
      <c r="E34" s="41"/>
      <c r="F34" s="41"/>
      <c r="G34" s="41"/>
      <c r="H34" s="41"/>
      <c r="I34" s="41"/>
      <c r="J34" s="41"/>
      <c r="K34" s="41"/>
      <c r="L34" s="41"/>
      <c r="M34" s="28"/>
      <c r="N34" s="28"/>
      <c r="O34" s="28"/>
    </row>
    <row r="35" spans="1:15" x14ac:dyDescent="0.25">
      <c r="A35" s="28"/>
      <c r="B35" s="41" t="s">
        <v>189</v>
      </c>
      <c r="L35" s="28"/>
      <c r="M35" s="28"/>
      <c r="N35" s="28"/>
      <c r="O35" s="28"/>
    </row>
    <row r="36" spans="1:15" x14ac:dyDescent="0.25">
      <c r="A36" s="28"/>
      <c r="B36" s="22" t="s">
        <v>146</v>
      </c>
      <c r="C36" s="8"/>
      <c r="D36" s="8"/>
      <c r="E36" s="8"/>
      <c r="F36" s="8"/>
      <c r="G36" s="8"/>
      <c r="H36" s="8"/>
      <c r="I36" s="25"/>
      <c r="J36" s="8"/>
      <c r="K36" s="8"/>
      <c r="L36" s="28"/>
      <c r="M36" s="28"/>
      <c r="N36" s="28"/>
      <c r="O36" s="28"/>
    </row>
    <row r="37" spans="1:15" x14ac:dyDescent="0.25">
      <c r="A37" s="28"/>
      <c r="B37" s="22" t="s">
        <v>156</v>
      </c>
      <c r="C37" s="8"/>
      <c r="D37" s="8"/>
      <c r="E37" s="8"/>
      <c r="F37" s="8"/>
      <c r="G37" s="8"/>
      <c r="H37" s="8"/>
      <c r="I37" s="25"/>
      <c r="J37" s="8"/>
      <c r="K37" s="8"/>
      <c r="L37" s="28"/>
      <c r="M37" s="28"/>
      <c r="N37" s="28"/>
      <c r="O37" s="28"/>
    </row>
    <row r="38" spans="1:15" x14ac:dyDescent="0.25">
      <c r="A38" s="28"/>
      <c r="B38" s="20" t="s">
        <v>36</v>
      </c>
      <c r="C38" s="8"/>
      <c r="D38" s="8"/>
      <c r="E38" s="8"/>
      <c r="F38" s="8"/>
      <c r="G38" s="8"/>
      <c r="H38" s="8"/>
      <c r="I38" s="25"/>
      <c r="J38" s="8"/>
      <c r="K38" s="8"/>
      <c r="L38" s="28"/>
      <c r="M38" s="28"/>
      <c r="N38" s="28"/>
      <c r="O38" s="28"/>
    </row>
    <row r="39" spans="1:15" x14ac:dyDescent="0.25">
      <c r="A39" s="28"/>
      <c r="B39" s="22" t="s">
        <v>133</v>
      </c>
      <c r="L39" s="28"/>
      <c r="N39" s="28"/>
      <c r="O39" s="28"/>
    </row>
    <row r="40" spans="1:15" x14ac:dyDescent="0.25">
      <c r="A40" s="28"/>
      <c r="N40" s="28"/>
      <c r="O40" s="28"/>
    </row>
    <row r="41" spans="1:15" x14ac:dyDescent="0.25">
      <c r="A41" s="28"/>
      <c r="B41" s="22" t="s">
        <v>169</v>
      </c>
      <c r="C41" s="21"/>
      <c r="D41" s="21"/>
      <c r="E41" s="8"/>
      <c r="F41" s="8"/>
      <c r="G41" s="8"/>
      <c r="H41" s="8"/>
      <c r="I41" s="25"/>
      <c r="J41" s="8"/>
      <c r="K41" s="8"/>
      <c r="M41" s="28"/>
      <c r="N41" s="28"/>
      <c r="O41" s="28"/>
    </row>
    <row r="42" spans="1:15" x14ac:dyDescent="0.25">
      <c r="A42" s="28"/>
      <c r="B42" s="37" t="s">
        <v>170</v>
      </c>
      <c r="C42" s="21"/>
      <c r="D42" s="8"/>
      <c r="E42" s="8"/>
      <c r="F42" s="8"/>
      <c r="G42" s="8"/>
      <c r="H42" s="25"/>
      <c r="I42" s="8"/>
      <c r="J42" s="8"/>
      <c r="K42" s="8"/>
      <c r="M42" s="28"/>
      <c r="N42" s="28"/>
      <c r="O42" s="28"/>
    </row>
    <row r="43" spans="1:15" x14ac:dyDescent="0.25">
      <c r="B43" s="41" t="s">
        <v>188</v>
      </c>
      <c r="C43" s="64"/>
      <c r="D43" s="64"/>
      <c r="E43" s="64"/>
      <c r="F43" s="64"/>
      <c r="G43" s="64"/>
      <c r="H43" s="64"/>
      <c r="I43" s="64"/>
      <c r="J43" s="64"/>
      <c r="K43" s="64"/>
      <c r="L43" s="65"/>
      <c r="M43" s="28"/>
      <c r="N43" s="28"/>
      <c r="O43" s="28"/>
    </row>
    <row r="44" spans="1:15" x14ac:dyDescent="0.25">
      <c r="B44" s="22" t="s">
        <v>149</v>
      </c>
      <c r="C44" s="8"/>
      <c r="D44" s="8"/>
      <c r="E44" s="8"/>
      <c r="F44" s="8"/>
      <c r="G44" s="8"/>
      <c r="H44" s="8"/>
      <c r="I44" s="25"/>
      <c r="J44" s="8"/>
      <c r="K44" s="8"/>
      <c r="L44" s="28"/>
      <c r="M44" s="28"/>
      <c r="N44" s="28"/>
      <c r="O44" s="28"/>
    </row>
    <row r="45" spans="1:15" x14ac:dyDescent="0.25">
      <c r="M45" s="28"/>
      <c r="N45" s="28"/>
      <c r="O45" s="28"/>
    </row>
    <row r="46" spans="1:15" x14ac:dyDescent="0.25">
      <c r="B46" s="41" t="s">
        <v>154</v>
      </c>
      <c r="C46" s="41"/>
      <c r="D46" s="41"/>
      <c r="E46" s="41"/>
      <c r="F46" s="41"/>
      <c r="G46" s="41"/>
      <c r="H46" s="41"/>
      <c r="I46" s="41"/>
      <c r="J46" s="41"/>
      <c r="K46" s="41"/>
      <c r="M46" s="28"/>
      <c r="N46" s="28"/>
      <c r="O46" s="28"/>
    </row>
    <row r="47" spans="1:15" x14ac:dyDescent="0.25">
      <c r="B47" s="41" t="s">
        <v>155</v>
      </c>
      <c r="C47" s="41"/>
      <c r="D47" s="41"/>
      <c r="E47" s="41"/>
      <c r="F47" s="41"/>
      <c r="G47" s="41"/>
      <c r="H47" s="41"/>
      <c r="I47" s="41"/>
      <c r="J47" s="41"/>
      <c r="K47" s="41"/>
      <c r="M47" s="28" t="s">
        <v>34</v>
      </c>
      <c r="N47" s="28"/>
      <c r="O47" s="28"/>
    </row>
    <row r="48" spans="1:15" x14ac:dyDescent="0.25">
      <c r="B48" s="22" t="s">
        <v>157</v>
      </c>
      <c r="C48" s="28"/>
      <c r="D48" s="28"/>
      <c r="E48" s="28"/>
      <c r="F48" s="28"/>
      <c r="G48" s="28"/>
      <c r="H48" s="29"/>
      <c r="I48" s="28"/>
      <c r="J48" s="41"/>
      <c r="K48" s="28"/>
      <c r="M48" s="28"/>
      <c r="N48" s="28"/>
      <c r="O48" s="28"/>
    </row>
    <row r="49" spans="13:13" x14ac:dyDescent="0.25">
      <c r="M49" s="28" t="s">
        <v>34</v>
      </c>
    </row>
    <row r="50" spans="13:13" x14ac:dyDescent="0.25">
      <c r="M50" s="28"/>
    </row>
  </sheetData>
  <pageMargins left="0.7" right="0.7" top="0.75" bottom="0.75" header="0.3" footer="0.3"/>
  <pageSetup scale="65" orientation="landscape" verticalDpi="597"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00B050"/>
    <pageSetUpPr fitToPage="1"/>
  </sheetPr>
  <dimension ref="A6:S50"/>
  <sheetViews>
    <sheetView zoomScale="90" zoomScaleNormal="90" workbookViewId="0"/>
  </sheetViews>
  <sheetFormatPr defaultRowHeight="15" x14ac:dyDescent="0.25"/>
  <sheetData>
    <row r="6" spans="1:15" x14ac:dyDescent="0.25">
      <c r="A6" s="7" t="s">
        <v>12</v>
      </c>
      <c r="B6" s="28"/>
      <c r="C6" s="28"/>
      <c r="D6" s="28"/>
      <c r="E6" s="28"/>
      <c r="F6" s="28"/>
      <c r="G6" s="28"/>
      <c r="H6" s="28"/>
      <c r="I6" s="29"/>
      <c r="J6" s="28"/>
      <c r="K6" s="28"/>
      <c r="L6" s="28"/>
      <c r="M6" s="28"/>
      <c r="N6" s="28"/>
      <c r="O6" s="28"/>
    </row>
    <row r="7" spans="1:15" x14ac:dyDescent="0.25">
      <c r="A7" s="30" t="s">
        <v>13</v>
      </c>
      <c r="B7" s="30">
        <v>40941</v>
      </c>
      <c r="C7" s="28"/>
      <c r="D7" s="28"/>
      <c r="E7" s="28"/>
      <c r="F7" s="28"/>
      <c r="G7" s="28"/>
      <c r="H7" s="28"/>
      <c r="I7" s="29"/>
      <c r="J7" s="28"/>
      <c r="K7" s="28"/>
      <c r="L7" s="28"/>
      <c r="M7" s="28"/>
      <c r="N7" s="28"/>
      <c r="O7" s="28"/>
    </row>
    <row r="8" spans="1:15" x14ac:dyDescent="0.25">
      <c r="A8" s="28" t="s">
        <v>14</v>
      </c>
      <c r="B8" s="28">
        <v>9</v>
      </c>
      <c r="C8" s="28" t="s">
        <v>479</v>
      </c>
      <c r="D8" s="28"/>
      <c r="E8" s="28"/>
      <c r="F8" s="28"/>
      <c r="G8" s="28"/>
      <c r="H8" s="28"/>
      <c r="I8" s="29"/>
      <c r="J8" s="28"/>
      <c r="K8" s="28" t="s">
        <v>34</v>
      </c>
      <c r="L8" s="28" t="s">
        <v>34</v>
      </c>
      <c r="M8" s="28"/>
      <c r="N8" s="28"/>
      <c r="O8" s="28"/>
    </row>
    <row r="9" spans="1:15" x14ac:dyDescent="0.25">
      <c r="A9" s="8" t="s">
        <v>15</v>
      </c>
      <c r="B9" s="8">
        <v>3</v>
      </c>
      <c r="C9" s="28" t="s">
        <v>125</v>
      </c>
      <c r="D9" s="8"/>
      <c r="E9" s="8"/>
      <c r="F9" s="8"/>
      <c r="G9" s="8"/>
      <c r="H9" s="8"/>
      <c r="I9" s="25"/>
      <c r="J9" s="8"/>
      <c r="K9" s="8"/>
      <c r="L9" s="8"/>
      <c r="M9" s="8"/>
      <c r="N9" s="8"/>
      <c r="O9" s="8"/>
    </row>
    <row r="10" spans="1:15" x14ac:dyDescent="0.25">
      <c r="A10" s="28" t="s">
        <v>16</v>
      </c>
      <c r="B10" s="87">
        <v>2000</v>
      </c>
      <c r="C10" s="31" t="s">
        <v>143</v>
      </c>
      <c r="D10" s="28"/>
      <c r="E10" s="28"/>
      <c r="F10" s="28"/>
      <c r="G10" s="28"/>
      <c r="H10" s="28"/>
      <c r="I10" s="29" t="s">
        <v>34</v>
      </c>
      <c r="J10" s="28" t="s">
        <v>34</v>
      </c>
      <c r="K10" s="28" t="s">
        <v>34</v>
      </c>
      <c r="L10" s="28" t="s">
        <v>34</v>
      </c>
      <c r="M10" s="28" t="s">
        <v>34</v>
      </c>
      <c r="N10" s="28" t="s">
        <v>34</v>
      </c>
      <c r="O10" s="28"/>
    </row>
    <row r="11" spans="1:15" x14ac:dyDescent="0.25">
      <c r="A11" s="28"/>
      <c r="B11" s="243">
        <v>200000000</v>
      </c>
      <c r="C11" s="31" t="s">
        <v>58</v>
      </c>
      <c r="D11" s="28"/>
      <c r="E11" s="28"/>
      <c r="F11" s="28"/>
      <c r="G11" s="28"/>
      <c r="H11" s="28"/>
      <c r="I11" s="29"/>
      <c r="J11" s="28"/>
      <c r="K11" s="28" t="s">
        <v>34</v>
      </c>
      <c r="L11" s="28"/>
      <c r="M11" s="28"/>
      <c r="N11" s="28"/>
      <c r="O11" s="28"/>
    </row>
    <row r="12" spans="1:15" x14ac:dyDescent="0.25">
      <c r="A12" s="28"/>
      <c r="B12" s="87">
        <v>95</v>
      </c>
      <c r="C12" s="31" t="s">
        <v>44</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42"/>
      <c r="J13" s="28"/>
      <c r="K13" s="28"/>
      <c r="L13" s="28"/>
      <c r="M13" s="28"/>
      <c r="N13" s="28"/>
      <c r="O13" s="28"/>
    </row>
    <row r="14" spans="1:15" x14ac:dyDescent="0.25">
      <c r="A14" s="28"/>
      <c r="B14" s="31">
        <v>100</v>
      </c>
      <c r="C14" s="87" t="s">
        <v>696</v>
      </c>
      <c r="D14" s="28"/>
      <c r="E14" s="28"/>
      <c r="F14" s="28"/>
      <c r="G14" s="28"/>
      <c r="H14" s="28"/>
      <c r="I14" s="242"/>
      <c r="J14" s="28"/>
      <c r="K14" s="28"/>
      <c r="L14" s="28"/>
      <c r="M14" s="28"/>
      <c r="N14" s="28"/>
      <c r="O14" s="28"/>
    </row>
    <row r="15" spans="1:15" x14ac:dyDescent="0.25">
      <c r="A15" s="28"/>
      <c r="B15" s="31">
        <v>0</v>
      </c>
      <c r="C15" s="87" t="s">
        <v>698</v>
      </c>
      <c r="D15" s="28"/>
      <c r="E15" s="28"/>
      <c r="F15" s="28"/>
      <c r="G15" s="28"/>
      <c r="H15" s="28"/>
      <c r="I15" s="242"/>
      <c r="J15" s="28"/>
      <c r="K15" s="28"/>
      <c r="L15" s="28"/>
      <c r="M15" s="28"/>
      <c r="N15" s="28"/>
      <c r="O15" s="28"/>
    </row>
    <row r="16" spans="1:15" x14ac:dyDescent="0.25">
      <c r="A16" s="28"/>
      <c r="B16" s="232">
        <f>(B12*B13/100*1000)/(B10+B12-B14+B15)*1000</f>
        <v>2857.1428571428573</v>
      </c>
      <c r="C16" s="28" t="s">
        <v>700</v>
      </c>
      <c r="D16" s="28"/>
      <c r="E16" s="28"/>
      <c r="F16" s="28"/>
      <c r="G16" s="28"/>
      <c r="H16" s="28"/>
      <c r="I16" s="242"/>
      <c r="J16" s="28"/>
      <c r="K16" s="28"/>
      <c r="L16" s="28"/>
      <c r="M16" s="28"/>
      <c r="N16" s="28"/>
      <c r="O16" s="28"/>
    </row>
    <row r="17" spans="1:19" ht="15.75" thickBot="1" x14ac:dyDescent="0.3">
      <c r="A17" s="28"/>
      <c r="B17" s="28"/>
      <c r="C17" s="28" t="s">
        <v>705</v>
      </c>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18</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4.4000000000000004</v>
      </c>
      <c r="C19" s="23">
        <v>9.24</v>
      </c>
      <c r="D19" s="23">
        <v>9.18</v>
      </c>
      <c r="E19" s="23">
        <v>0.09</v>
      </c>
      <c r="F19" s="23">
        <v>0.66</v>
      </c>
      <c r="G19" s="23">
        <v>550</v>
      </c>
      <c r="H19" s="23">
        <v>3620</v>
      </c>
      <c r="I19" s="33">
        <v>15000000</v>
      </c>
      <c r="J19" s="125">
        <f t="shared" ref="J19:J25" si="0">LOG(I$19)-LOG(I19)</f>
        <v>0</v>
      </c>
      <c r="K19" s="33">
        <v>74000000</v>
      </c>
      <c r="L19" s="23" t="s">
        <v>26</v>
      </c>
      <c r="M19" s="34"/>
      <c r="N19" s="34"/>
      <c r="O19" s="35"/>
      <c r="P19" s="233">
        <f t="shared" ref="P19:P24" si="1">B$16*A19</f>
        <v>0</v>
      </c>
      <c r="Q19" s="233">
        <f>6/LINEST(J19:J24,P19:P24,FALSE)</f>
        <v>74347.217427942829</v>
      </c>
      <c r="R19" s="249">
        <f>Q19/3000</f>
        <v>24.782405809314277</v>
      </c>
      <c r="S19" s="233">
        <f>(J26/LINEST($J19:$J24,$P19:$P24,FALSE))/$B$16</f>
        <v>23.85306559146499</v>
      </c>
    </row>
    <row r="20" spans="1:19" ht="15.75" thickBot="1" x14ac:dyDescent="0.3">
      <c r="A20" s="32">
        <v>3</v>
      </c>
      <c r="B20" s="24">
        <v>5.5</v>
      </c>
      <c r="C20" s="24">
        <v>9.23</v>
      </c>
      <c r="D20" s="24">
        <v>9.7799999999999994</v>
      </c>
      <c r="E20" s="24">
        <v>2000</v>
      </c>
      <c r="F20" s="24">
        <v>0.71</v>
      </c>
      <c r="G20" s="24">
        <v>550</v>
      </c>
      <c r="H20" s="24">
        <v>3530</v>
      </c>
      <c r="I20" s="33">
        <v>2900000</v>
      </c>
      <c r="J20" s="125">
        <f t="shared" si="0"/>
        <v>0.71369326115672482</v>
      </c>
      <c r="K20" s="33">
        <v>3000000</v>
      </c>
      <c r="L20" s="24">
        <v>1.39</v>
      </c>
      <c r="M20" s="35"/>
      <c r="N20" s="35"/>
      <c r="O20" s="35"/>
      <c r="P20" s="233">
        <f t="shared" si="1"/>
        <v>8571.4285714285725</v>
      </c>
    </row>
    <row r="21" spans="1:19" ht="15.75" thickBot="1" x14ac:dyDescent="0.3">
      <c r="A21" s="32">
        <v>5</v>
      </c>
      <c r="B21" s="24">
        <v>5.5</v>
      </c>
      <c r="C21" s="24">
        <v>9.1999999999999993</v>
      </c>
      <c r="D21" s="24">
        <v>9.7200000000000006</v>
      </c>
      <c r="E21" s="24">
        <v>2200</v>
      </c>
      <c r="F21" s="24">
        <v>0.75</v>
      </c>
      <c r="G21" s="24">
        <v>550</v>
      </c>
      <c r="H21" s="24">
        <v>3710</v>
      </c>
      <c r="I21" s="33">
        <v>70000</v>
      </c>
      <c r="J21" s="125">
        <f t="shared" si="0"/>
        <v>2.3309932190414244</v>
      </c>
      <c r="K21" s="24">
        <v>0</v>
      </c>
      <c r="L21" s="24" t="s">
        <v>145</v>
      </c>
      <c r="M21" s="35"/>
      <c r="N21" s="35"/>
      <c r="O21" s="35"/>
      <c r="P21" s="233">
        <f t="shared" si="1"/>
        <v>14285.714285714286</v>
      </c>
    </row>
    <row r="22" spans="1:19" ht="15.75" thickBot="1" x14ac:dyDescent="0.3">
      <c r="A22" s="32">
        <v>10</v>
      </c>
      <c r="B22" s="24">
        <v>5.6</v>
      </c>
      <c r="C22" s="24">
        <v>9.11</v>
      </c>
      <c r="D22" s="24">
        <v>9.73</v>
      </c>
      <c r="E22" s="24">
        <v>2000</v>
      </c>
      <c r="F22" s="24">
        <v>0.8</v>
      </c>
      <c r="G22" s="24">
        <v>550</v>
      </c>
      <c r="H22" s="24">
        <v>3810</v>
      </c>
      <c r="I22" s="63">
        <v>725</v>
      </c>
      <c r="J22" s="125">
        <f t="shared" si="0"/>
        <v>4.3157532524846882</v>
      </c>
      <c r="K22" s="24">
        <v>0</v>
      </c>
      <c r="L22" s="24" t="s">
        <v>145</v>
      </c>
      <c r="M22" s="35"/>
      <c r="N22" s="35"/>
      <c r="O22" s="35"/>
      <c r="P22" s="233">
        <f t="shared" si="1"/>
        <v>28571.428571428572</v>
      </c>
    </row>
    <row r="23" spans="1:19" ht="15.75" thickBot="1" x14ac:dyDescent="0.3">
      <c r="A23" s="32">
        <v>15</v>
      </c>
      <c r="B23" s="24">
        <v>5.7</v>
      </c>
      <c r="C23" s="24">
        <v>9.18</v>
      </c>
      <c r="D23" s="24">
        <v>9.69</v>
      </c>
      <c r="E23" s="24">
        <v>2000</v>
      </c>
      <c r="F23" s="24">
        <v>0.88</v>
      </c>
      <c r="G23" s="24">
        <v>550</v>
      </c>
      <c r="H23" s="24">
        <v>3770</v>
      </c>
      <c r="I23" s="33">
        <v>375</v>
      </c>
      <c r="J23" s="125">
        <f t="shared" si="0"/>
        <v>4.6020599913279625</v>
      </c>
      <c r="K23" s="24">
        <v>0</v>
      </c>
      <c r="L23" s="24" t="s">
        <v>145</v>
      </c>
      <c r="M23" s="35"/>
      <c r="N23" s="35"/>
      <c r="O23" s="35"/>
      <c r="P23" s="233">
        <f t="shared" si="1"/>
        <v>42857.142857142862</v>
      </c>
    </row>
    <row r="24" spans="1:19" ht="15.75" thickBot="1" x14ac:dyDescent="0.3">
      <c r="A24" s="32">
        <v>30</v>
      </c>
      <c r="B24" s="24">
        <v>5.7</v>
      </c>
      <c r="C24" s="24">
        <v>9.14</v>
      </c>
      <c r="D24" s="24">
        <v>9.77</v>
      </c>
      <c r="E24" s="24">
        <v>2200</v>
      </c>
      <c r="F24" s="24">
        <v>0.51</v>
      </c>
      <c r="G24" s="24">
        <v>550</v>
      </c>
      <c r="H24" s="24">
        <v>3740</v>
      </c>
      <c r="I24" s="33">
        <v>50</v>
      </c>
      <c r="J24" s="125">
        <f t="shared" si="0"/>
        <v>5.4771212547196626</v>
      </c>
      <c r="K24" s="24">
        <v>0</v>
      </c>
      <c r="L24" s="24" t="s">
        <v>145</v>
      </c>
      <c r="M24" s="36">
        <v>620</v>
      </c>
      <c r="N24" s="36">
        <v>14570</v>
      </c>
      <c r="O24" s="36">
        <v>4955</v>
      </c>
      <c r="P24" s="233">
        <f t="shared" si="1"/>
        <v>85714.285714285725</v>
      </c>
    </row>
    <row r="25" spans="1:19" ht="15.75" thickBot="1" x14ac:dyDescent="0.3">
      <c r="A25" s="32" t="s">
        <v>52</v>
      </c>
      <c r="B25" s="24">
        <v>5.7</v>
      </c>
      <c r="C25" s="24">
        <v>9.14</v>
      </c>
      <c r="D25" s="24">
        <v>9.69</v>
      </c>
      <c r="E25" s="24">
        <v>2100</v>
      </c>
      <c r="F25" s="58">
        <v>0.46</v>
      </c>
      <c r="G25" s="24">
        <v>550</v>
      </c>
      <c r="H25" s="24">
        <v>3690</v>
      </c>
      <c r="I25" s="33">
        <v>50</v>
      </c>
      <c r="J25" s="125">
        <f t="shared" si="0"/>
        <v>5.4771212547196626</v>
      </c>
      <c r="K25" s="24">
        <v>0</v>
      </c>
      <c r="L25" s="24" t="s">
        <v>145</v>
      </c>
      <c r="M25" s="36">
        <v>650</v>
      </c>
      <c r="N25" s="36">
        <v>14920</v>
      </c>
      <c r="O25" s="27"/>
    </row>
    <row r="26" spans="1:19" x14ac:dyDescent="0.25">
      <c r="A26" s="28"/>
      <c r="B26" s="28">
        <f>AVERAGE(B20:B24)</f>
        <v>5.6</v>
      </c>
      <c r="C26" s="28">
        <f>AVERAGE(C20:C24)</f>
        <v>9.1720000000000006</v>
      </c>
      <c r="D26" s="28"/>
      <c r="E26" s="28"/>
      <c r="F26" s="28"/>
      <c r="G26" s="28"/>
      <c r="H26" s="28"/>
      <c r="I26" s="29"/>
      <c r="J26" s="28">
        <v>5.5</v>
      </c>
      <c r="K26" s="28"/>
      <c r="L26" s="28"/>
      <c r="M26" s="28"/>
      <c r="N26" s="28"/>
      <c r="O26" s="28"/>
    </row>
    <row r="27" spans="1:19" x14ac:dyDescent="0.25">
      <c r="A27" s="28" t="s">
        <v>140</v>
      </c>
      <c r="B27" s="8"/>
      <c r="C27" s="8"/>
      <c r="D27" s="8"/>
      <c r="E27" s="8"/>
      <c r="F27" s="8"/>
      <c r="G27" s="8"/>
      <c r="H27" s="8"/>
      <c r="I27" s="25"/>
      <c r="J27" s="8"/>
      <c r="K27" s="8"/>
      <c r="L27" s="8"/>
      <c r="M27" s="8"/>
      <c r="N27" s="28"/>
      <c r="O27" s="8"/>
    </row>
    <row r="28" spans="1:19" x14ac:dyDescent="0.25">
      <c r="A28" s="28"/>
      <c r="B28" s="28" t="s">
        <v>141</v>
      </c>
      <c r="C28" s="8"/>
      <c r="D28" s="8"/>
      <c r="E28" s="8"/>
      <c r="F28" s="8"/>
      <c r="G28" s="8"/>
      <c r="H28" s="8"/>
      <c r="I28" s="25"/>
      <c r="J28" s="8"/>
      <c r="K28" s="8"/>
      <c r="L28" s="8"/>
      <c r="M28" s="8"/>
      <c r="N28" s="28"/>
      <c r="O28" s="8"/>
    </row>
    <row r="29" spans="1:19" x14ac:dyDescent="0.25">
      <c r="A29" s="28" t="s">
        <v>53</v>
      </c>
      <c r="B29" s="28"/>
      <c r="C29" s="28"/>
      <c r="D29" s="28"/>
      <c r="E29" s="28"/>
      <c r="F29" s="28"/>
      <c r="G29" s="28"/>
      <c r="H29" s="28"/>
      <c r="I29" s="29"/>
      <c r="J29" s="28"/>
      <c r="K29" s="28"/>
      <c r="L29" s="28" t="s">
        <v>34</v>
      </c>
      <c r="M29" s="28"/>
      <c r="N29" s="28" t="s">
        <v>34</v>
      </c>
      <c r="O29" s="28"/>
    </row>
    <row r="30" spans="1:19" x14ac:dyDescent="0.25">
      <c r="A30" s="59"/>
      <c r="F30" s="28"/>
      <c r="G30" s="28"/>
      <c r="H30" s="28"/>
      <c r="I30" s="29"/>
      <c r="J30" s="28"/>
      <c r="K30" s="28"/>
      <c r="L30" s="28" t="s">
        <v>34</v>
      </c>
      <c r="M30" s="28"/>
      <c r="N30" s="28"/>
      <c r="O30" s="28"/>
    </row>
    <row r="31" spans="1:19" x14ac:dyDescent="0.25">
      <c r="A31" s="19" t="s">
        <v>28</v>
      </c>
      <c r="B31" s="28"/>
      <c r="C31" s="28"/>
      <c r="D31" s="28"/>
      <c r="E31" s="28"/>
      <c r="F31" s="28"/>
      <c r="G31" s="28"/>
      <c r="H31" s="28"/>
      <c r="I31" s="29"/>
      <c r="J31" s="28"/>
      <c r="K31" s="28"/>
      <c r="L31" s="28"/>
      <c r="M31" s="28"/>
      <c r="N31" s="28"/>
      <c r="O31" s="28"/>
    </row>
    <row r="32" spans="1:19" x14ac:dyDescent="0.25">
      <c r="A32" s="28"/>
      <c r="B32" s="22"/>
      <c r="C32" s="28"/>
      <c r="D32" s="28"/>
      <c r="E32" s="28"/>
      <c r="F32" s="28"/>
      <c r="G32" s="28"/>
      <c r="H32" s="28"/>
      <c r="I32" s="29"/>
      <c r="J32" s="28"/>
      <c r="K32" s="28"/>
      <c r="L32" s="28"/>
      <c r="M32" s="28"/>
      <c r="N32" s="28"/>
      <c r="O32" s="28"/>
    </row>
    <row r="33" spans="1:15" x14ac:dyDescent="0.25">
      <c r="A33" s="28"/>
      <c r="B33" s="41" t="s">
        <v>171</v>
      </c>
      <c r="C33" s="41"/>
      <c r="D33" s="41"/>
      <c r="E33" s="41"/>
      <c r="F33" s="41"/>
      <c r="G33" s="41"/>
      <c r="H33" s="41"/>
      <c r="I33" s="41"/>
      <c r="J33" s="41"/>
      <c r="K33" s="41"/>
      <c r="L33" s="41"/>
      <c r="M33" s="28"/>
      <c r="N33" s="28"/>
      <c r="O33" s="28"/>
    </row>
    <row r="34" spans="1:15" x14ac:dyDescent="0.25">
      <c r="A34" s="28"/>
      <c r="B34" s="41" t="s">
        <v>172</v>
      </c>
      <c r="C34" s="41"/>
      <c r="D34" s="41"/>
      <c r="E34" s="41"/>
      <c r="F34" s="41"/>
      <c r="G34" s="41"/>
      <c r="H34" s="41"/>
      <c r="I34" s="41"/>
      <c r="J34" s="41"/>
      <c r="K34" s="41"/>
      <c r="L34" s="41"/>
      <c r="M34" s="28"/>
      <c r="N34" s="28"/>
      <c r="O34" s="28"/>
    </row>
    <row r="35" spans="1:15" x14ac:dyDescent="0.25">
      <c r="A35" s="28"/>
      <c r="B35" s="22" t="s">
        <v>146</v>
      </c>
      <c r="C35" s="8"/>
      <c r="D35" s="8"/>
      <c r="E35" s="8"/>
      <c r="F35" s="8"/>
      <c r="G35" s="8"/>
      <c r="H35" s="8"/>
      <c r="I35" s="25"/>
      <c r="J35" s="8"/>
      <c r="K35" s="8"/>
      <c r="L35" s="28"/>
      <c r="M35" s="28"/>
      <c r="N35" s="28"/>
      <c r="O35" s="28"/>
    </row>
    <row r="36" spans="1:15" x14ac:dyDescent="0.25">
      <c r="A36" s="28"/>
      <c r="B36" s="22" t="s">
        <v>156</v>
      </c>
      <c r="C36" s="8"/>
      <c r="D36" s="8"/>
      <c r="E36" s="8"/>
      <c r="F36" s="8"/>
      <c r="G36" s="8"/>
      <c r="H36" s="8"/>
      <c r="I36" s="25"/>
      <c r="J36" s="8"/>
      <c r="K36" s="8"/>
      <c r="L36" s="28"/>
      <c r="M36" s="28"/>
      <c r="N36" s="28"/>
      <c r="O36" s="28"/>
    </row>
    <row r="37" spans="1:15" x14ac:dyDescent="0.25">
      <c r="A37" s="28"/>
      <c r="B37" s="20" t="s">
        <v>36</v>
      </c>
      <c r="C37" s="8"/>
      <c r="D37" s="8"/>
      <c r="E37" s="8"/>
      <c r="F37" s="8"/>
      <c r="G37" s="8"/>
      <c r="H37" s="8"/>
      <c r="I37" s="25"/>
      <c r="J37" s="8"/>
      <c r="K37" s="8"/>
      <c r="L37" s="28"/>
      <c r="M37" s="28"/>
      <c r="N37" s="28"/>
      <c r="O37" s="28"/>
    </row>
    <row r="38" spans="1:15" x14ac:dyDescent="0.25">
      <c r="A38" s="28"/>
      <c r="B38" s="22" t="s">
        <v>133</v>
      </c>
      <c r="L38" s="28"/>
      <c r="M38" s="28"/>
      <c r="N38" s="28"/>
      <c r="O38" s="28"/>
    </row>
    <row r="39" spans="1:15" x14ac:dyDescent="0.25">
      <c r="A39" s="28"/>
      <c r="L39" s="28"/>
      <c r="N39" s="28"/>
      <c r="O39" s="28"/>
    </row>
    <row r="40" spans="1:15" x14ac:dyDescent="0.25">
      <c r="A40" s="28"/>
      <c r="N40" s="28"/>
      <c r="O40" s="28"/>
    </row>
    <row r="41" spans="1:15" x14ac:dyDescent="0.25">
      <c r="A41" s="28"/>
      <c r="B41" s="22" t="s">
        <v>173</v>
      </c>
      <c r="C41" s="21"/>
      <c r="D41" s="21"/>
      <c r="E41" s="8"/>
      <c r="F41" s="8"/>
      <c r="G41" s="8"/>
      <c r="H41" s="8"/>
      <c r="I41" s="25"/>
      <c r="J41" s="8"/>
      <c r="K41" s="8"/>
      <c r="M41" s="28"/>
      <c r="N41" s="28"/>
      <c r="O41" s="28"/>
    </row>
    <row r="42" spans="1:15" x14ac:dyDescent="0.25">
      <c r="A42" s="28"/>
      <c r="B42" s="37" t="s">
        <v>174</v>
      </c>
      <c r="C42" s="21"/>
      <c r="D42" s="8"/>
      <c r="E42" s="8"/>
      <c r="F42" s="8"/>
      <c r="G42" s="8"/>
      <c r="H42" s="25"/>
      <c r="I42" s="8"/>
      <c r="J42" s="8"/>
      <c r="K42" s="8"/>
      <c r="M42" s="28"/>
      <c r="N42" s="28"/>
      <c r="O42" s="28"/>
    </row>
    <row r="43" spans="1:15" x14ac:dyDescent="0.25">
      <c r="B43" s="189" t="s">
        <v>757</v>
      </c>
      <c r="C43" s="64"/>
      <c r="D43" s="64"/>
      <c r="E43" s="64"/>
      <c r="F43" s="64"/>
      <c r="G43" s="64"/>
      <c r="H43" s="64"/>
      <c r="I43" s="64"/>
      <c r="J43" s="64"/>
      <c r="K43" s="64"/>
      <c r="L43" s="65"/>
      <c r="M43" s="28"/>
      <c r="N43" s="28"/>
      <c r="O43" s="28"/>
    </row>
    <row r="44" spans="1:15" x14ac:dyDescent="0.25">
      <c r="B44" s="22" t="s">
        <v>149</v>
      </c>
      <c r="C44" s="8"/>
      <c r="D44" s="8"/>
      <c r="E44" s="8"/>
      <c r="F44" s="8"/>
      <c r="G44" s="8"/>
      <c r="H44" s="8"/>
      <c r="I44" s="25"/>
      <c r="J44" s="8"/>
      <c r="K44" s="8"/>
      <c r="L44" s="28"/>
      <c r="M44" s="28"/>
      <c r="N44" s="28"/>
      <c r="O44" s="28"/>
    </row>
    <row r="45" spans="1:15" x14ac:dyDescent="0.25">
      <c r="M45" s="28"/>
      <c r="N45" s="28"/>
      <c r="O45" s="28"/>
    </row>
    <row r="46" spans="1:15" x14ac:dyDescent="0.25">
      <c r="B46" s="41" t="s">
        <v>154</v>
      </c>
      <c r="C46" s="41"/>
      <c r="D46" s="41"/>
      <c r="E46" s="41"/>
      <c r="F46" s="41"/>
      <c r="G46" s="41"/>
      <c r="H46" s="41"/>
      <c r="I46" s="41"/>
      <c r="J46" s="41"/>
      <c r="K46" s="41"/>
      <c r="M46" s="28"/>
      <c r="N46" s="28"/>
      <c r="O46" s="28"/>
    </row>
    <row r="47" spans="1:15" x14ac:dyDescent="0.25">
      <c r="B47" s="41" t="s">
        <v>155</v>
      </c>
      <c r="C47" s="41"/>
      <c r="D47" s="41"/>
      <c r="E47" s="41"/>
      <c r="F47" s="41"/>
      <c r="G47" s="41"/>
      <c r="H47" s="41"/>
      <c r="I47" s="41"/>
      <c r="J47" s="41"/>
      <c r="K47" s="41"/>
      <c r="M47" s="28" t="s">
        <v>34</v>
      </c>
      <c r="N47" s="28"/>
      <c r="O47" s="28"/>
    </row>
    <row r="48" spans="1:15" x14ac:dyDescent="0.25">
      <c r="B48" s="22" t="s">
        <v>157</v>
      </c>
      <c r="C48" s="28"/>
      <c r="D48" s="28"/>
      <c r="E48" s="28"/>
      <c r="F48" s="28"/>
      <c r="G48" s="28"/>
      <c r="H48" s="29"/>
      <c r="I48" s="28"/>
      <c r="J48" s="41"/>
      <c r="K48" s="28"/>
      <c r="M48" s="28"/>
      <c r="N48" s="28"/>
      <c r="O48" s="28"/>
    </row>
    <row r="49" spans="13:13" x14ac:dyDescent="0.25">
      <c r="M49" s="28" t="s">
        <v>34</v>
      </c>
    </row>
    <row r="50" spans="13:13" x14ac:dyDescent="0.25">
      <c r="M50" s="28"/>
    </row>
  </sheetData>
  <pageMargins left="0.7" right="0.7" top="0.75" bottom="0.75" header="0.3" footer="0.3"/>
  <pageSetup scale="65" orientation="landscape" verticalDpi="597"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008080"/>
    <pageSetUpPr fitToPage="1"/>
  </sheetPr>
  <dimension ref="A6:S48"/>
  <sheetViews>
    <sheetView zoomScale="90" zoomScaleNormal="90" workbookViewId="0"/>
  </sheetViews>
  <sheetFormatPr defaultRowHeight="15" x14ac:dyDescent="0.25"/>
  <cols>
    <col min="2" max="2" width="10.7109375" bestFit="1"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40945</v>
      </c>
      <c r="C7" s="28"/>
      <c r="D7" s="28"/>
      <c r="E7" s="28"/>
      <c r="F7" s="28"/>
      <c r="G7" s="28"/>
      <c r="H7" s="28"/>
      <c r="I7" s="29"/>
      <c r="J7" s="28"/>
      <c r="K7" s="28"/>
      <c r="L7" s="28"/>
      <c r="M7" s="28"/>
      <c r="N7" s="28"/>
      <c r="O7" s="28"/>
    </row>
    <row r="8" spans="1:15" x14ac:dyDescent="0.25">
      <c r="A8" s="28" t="s">
        <v>14</v>
      </c>
      <c r="B8" s="28" t="s">
        <v>34</v>
      </c>
      <c r="C8" s="28" t="s">
        <v>480</v>
      </c>
      <c r="D8" s="28"/>
      <c r="E8" s="28"/>
      <c r="F8" s="28"/>
      <c r="G8" s="28"/>
      <c r="H8" s="28"/>
      <c r="I8" s="29"/>
      <c r="J8" s="28"/>
      <c r="K8" s="28" t="s">
        <v>34</v>
      </c>
      <c r="L8" s="28" t="s">
        <v>34</v>
      </c>
      <c r="M8" s="28"/>
      <c r="N8" s="28"/>
      <c r="O8" s="28"/>
    </row>
    <row r="9" spans="1:15" x14ac:dyDescent="0.25">
      <c r="A9" s="8" t="s">
        <v>15</v>
      </c>
      <c r="B9" s="8">
        <v>7</v>
      </c>
      <c r="C9" s="28" t="s">
        <v>175</v>
      </c>
      <c r="D9" s="8"/>
      <c r="E9" s="8"/>
      <c r="F9" s="8"/>
      <c r="G9" s="8"/>
      <c r="H9" s="8"/>
      <c r="I9" s="29"/>
      <c r="J9" s="8"/>
      <c r="K9" s="8"/>
      <c r="L9" s="8"/>
      <c r="M9" s="8"/>
      <c r="N9" s="8"/>
      <c r="O9" s="8"/>
    </row>
    <row r="10" spans="1:15" x14ac:dyDescent="0.25">
      <c r="A10" s="28" t="s">
        <v>16</v>
      </c>
      <c r="B10" s="31">
        <v>2000</v>
      </c>
      <c r="C10" s="31" t="s">
        <v>143</v>
      </c>
      <c r="D10" s="28"/>
      <c r="E10" s="28"/>
      <c r="F10" s="28"/>
      <c r="G10" s="28"/>
      <c r="H10" s="28"/>
      <c r="I10" s="29"/>
      <c r="J10" s="28" t="s">
        <v>34</v>
      </c>
      <c r="K10" s="28" t="s">
        <v>34</v>
      </c>
      <c r="L10" s="28" t="s">
        <v>34</v>
      </c>
      <c r="M10" s="28" t="s">
        <v>34</v>
      </c>
      <c r="N10" s="28" t="s">
        <v>34</v>
      </c>
      <c r="O10" s="28"/>
    </row>
    <row r="11" spans="1:15" x14ac:dyDescent="0.25">
      <c r="A11" s="28"/>
      <c r="B11" s="238">
        <v>200000000</v>
      </c>
      <c r="C11" s="31" t="s">
        <v>58</v>
      </c>
      <c r="D11" s="28"/>
      <c r="E11" s="28"/>
      <c r="F11" s="28"/>
      <c r="G11" s="28"/>
      <c r="H11" s="28"/>
      <c r="I11" s="29"/>
      <c r="J11" s="28"/>
      <c r="K11" s="28" t="s">
        <v>34</v>
      </c>
      <c r="L11" s="28"/>
      <c r="M11" s="28"/>
      <c r="N11" s="28"/>
      <c r="O11" s="28"/>
    </row>
    <row r="12" spans="1:15" x14ac:dyDescent="0.25">
      <c r="A12" s="28"/>
      <c r="B12" s="31">
        <v>95</v>
      </c>
      <c r="C12" s="31" t="s">
        <v>44</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42"/>
      <c r="J13" s="28"/>
      <c r="K13" s="28"/>
      <c r="L13" s="28"/>
      <c r="M13" s="28"/>
      <c r="N13" s="28"/>
      <c r="O13" s="28"/>
    </row>
    <row r="14" spans="1:15" x14ac:dyDescent="0.25">
      <c r="A14" s="28"/>
      <c r="B14" s="31">
        <v>100</v>
      </c>
      <c r="C14" s="87" t="s">
        <v>696</v>
      </c>
      <c r="D14" s="28"/>
      <c r="E14" s="28"/>
      <c r="F14" s="28"/>
      <c r="G14" s="28"/>
      <c r="H14" s="28"/>
      <c r="I14" s="242"/>
      <c r="J14" s="28"/>
      <c r="K14" s="28"/>
      <c r="L14" s="28"/>
      <c r="M14" s="28"/>
      <c r="N14" s="28"/>
      <c r="O14" s="28"/>
    </row>
    <row r="15" spans="1:15" x14ac:dyDescent="0.25">
      <c r="A15" s="28"/>
      <c r="B15" s="31">
        <v>0</v>
      </c>
      <c r="C15" s="87" t="s">
        <v>698</v>
      </c>
      <c r="D15" s="28"/>
      <c r="E15" s="28"/>
      <c r="F15" s="28"/>
      <c r="G15" s="28"/>
      <c r="H15" s="28"/>
      <c r="I15" s="242"/>
      <c r="J15" s="28"/>
      <c r="K15" s="28"/>
      <c r="L15" s="28"/>
      <c r="M15" s="28"/>
      <c r="N15" s="28"/>
      <c r="O15" s="28"/>
    </row>
    <row r="16" spans="1:15" x14ac:dyDescent="0.25">
      <c r="A16" s="28"/>
      <c r="B16" s="232">
        <f>(B12*B13/100*1000)/(B10+B12-B14+B15)*1000</f>
        <v>2857.1428571428573</v>
      </c>
      <c r="C16" s="28" t="s">
        <v>700</v>
      </c>
      <c r="D16" s="28"/>
      <c r="E16" s="28"/>
      <c r="F16" s="28"/>
      <c r="G16" s="28"/>
      <c r="H16" s="28"/>
      <c r="I16" s="242"/>
      <c r="J16" s="28"/>
      <c r="K16" s="28"/>
      <c r="L16" s="28"/>
      <c r="M16" s="28"/>
      <c r="N16" s="28"/>
      <c r="O16" s="28"/>
    </row>
    <row r="17" spans="1:19" ht="15.75" thickBot="1" x14ac:dyDescent="0.3">
      <c r="A17" s="28"/>
      <c r="B17" s="28"/>
      <c r="C17" s="28" t="s">
        <v>705</v>
      </c>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18</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4.7</v>
      </c>
      <c r="C19" s="23">
        <v>9.25</v>
      </c>
      <c r="D19" s="23">
        <v>8.9600000000000009</v>
      </c>
      <c r="E19" s="23">
        <v>0.28999999999999998</v>
      </c>
      <c r="F19" s="23">
        <v>0.45</v>
      </c>
      <c r="G19" s="23">
        <v>10.7</v>
      </c>
      <c r="H19" s="23">
        <v>3300</v>
      </c>
      <c r="I19" s="33">
        <v>13000000</v>
      </c>
      <c r="J19" s="125">
        <f>LOG(I$19)-LOG(I19)</f>
        <v>0</v>
      </c>
      <c r="K19" s="33">
        <v>15000000</v>
      </c>
      <c r="L19" s="23" t="s">
        <v>26</v>
      </c>
      <c r="M19" s="34"/>
      <c r="N19" s="34"/>
      <c r="O19" s="35"/>
      <c r="P19" s="233">
        <f t="shared" ref="P19:P24" si="0">B$16*A19</f>
        <v>0</v>
      </c>
      <c r="Q19" s="233">
        <f>6/LINEST(J19:J23,P19:P23,FALSE)</f>
        <v>37504.698582662095</v>
      </c>
      <c r="R19" s="233">
        <f>Q19/3000</f>
        <v>12.501566194220699</v>
      </c>
      <c r="S19" s="233">
        <f>(J26/LINEST($J19:$J23,$P19:$P23,FALSE))/$B$16</f>
        <v>15.555073737159104</v>
      </c>
    </row>
    <row r="20" spans="1:19" ht="15.75" thickBot="1" x14ac:dyDescent="0.3">
      <c r="A20" s="32">
        <v>3</v>
      </c>
      <c r="B20" s="24">
        <v>4.8</v>
      </c>
      <c r="C20" s="24">
        <v>9.25</v>
      </c>
      <c r="D20" s="24">
        <v>9.86</v>
      </c>
      <c r="E20" s="24">
        <v>2300</v>
      </c>
      <c r="F20" s="24">
        <v>0.34</v>
      </c>
      <c r="G20" s="24">
        <v>11.7</v>
      </c>
      <c r="H20" s="24">
        <v>3720</v>
      </c>
      <c r="I20" s="33">
        <v>1400000</v>
      </c>
      <c r="J20" s="125">
        <f>LOG(I$19)-LOG(I20)</f>
        <v>0.96781531662859877</v>
      </c>
      <c r="K20" s="33">
        <v>3000000</v>
      </c>
      <c r="L20" s="24">
        <v>0.69</v>
      </c>
      <c r="M20" s="35"/>
      <c r="N20" s="35"/>
      <c r="O20" s="35"/>
      <c r="P20" s="233">
        <f t="shared" si="0"/>
        <v>8571.4285714285725</v>
      </c>
    </row>
    <row r="21" spans="1:19" ht="15.75" thickBot="1" x14ac:dyDescent="0.3">
      <c r="A21" s="32">
        <v>5</v>
      </c>
      <c r="B21" s="24">
        <v>4.8</v>
      </c>
      <c r="C21" s="24">
        <v>9.25</v>
      </c>
      <c r="D21" s="24">
        <v>9.83</v>
      </c>
      <c r="E21" s="24">
        <v>2700</v>
      </c>
      <c r="F21" s="24">
        <v>0.28000000000000003</v>
      </c>
      <c r="G21" s="24">
        <v>11.1</v>
      </c>
      <c r="H21" s="24">
        <v>3580</v>
      </c>
      <c r="I21" s="33">
        <v>31000</v>
      </c>
      <c r="J21" s="125">
        <f>LOG(I$19)-LOG(I21)</f>
        <v>2.6225816584725639</v>
      </c>
      <c r="K21" s="24">
        <v>0</v>
      </c>
      <c r="L21" s="24" t="s">
        <v>50</v>
      </c>
      <c r="M21" s="35"/>
      <c r="N21" s="35"/>
      <c r="O21" s="35"/>
      <c r="P21" s="233">
        <f t="shared" si="0"/>
        <v>14285.714285714286</v>
      </c>
    </row>
    <row r="22" spans="1:19" ht="15.75" thickBot="1" x14ac:dyDescent="0.3">
      <c r="A22" s="32">
        <v>10</v>
      </c>
      <c r="B22" s="24">
        <v>4.9000000000000004</v>
      </c>
      <c r="C22" s="24">
        <v>9.2200000000000006</v>
      </c>
      <c r="D22" s="24">
        <v>9.8000000000000007</v>
      </c>
      <c r="E22" s="24">
        <v>2500</v>
      </c>
      <c r="F22" s="24">
        <v>0.35</v>
      </c>
      <c r="G22" s="24">
        <v>10.3</v>
      </c>
      <c r="H22" s="24">
        <v>3380</v>
      </c>
      <c r="I22" s="63">
        <v>30</v>
      </c>
      <c r="J22" s="125">
        <f>LOG(I$19)-LOG(I22)</f>
        <v>5.6368220975871743</v>
      </c>
      <c r="K22" s="24">
        <v>0</v>
      </c>
      <c r="L22" s="24" t="s">
        <v>50</v>
      </c>
      <c r="M22" s="35"/>
      <c r="N22" s="35"/>
      <c r="O22" s="35"/>
      <c r="P22" s="233">
        <f t="shared" si="0"/>
        <v>28571.428571428572</v>
      </c>
    </row>
    <row r="23" spans="1:19" ht="15.75" thickBot="1" x14ac:dyDescent="0.3">
      <c r="A23" s="32">
        <v>15</v>
      </c>
      <c r="B23" s="24">
        <v>4.9000000000000004</v>
      </c>
      <c r="C23" s="24">
        <v>9.1300000000000008</v>
      </c>
      <c r="D23" s="24">
        <v>9.61</v>
      </c>
      <c r="E23" s="24">
        <v>2600</v>
      </c>
      <c r="F23" s="24">
        <v>0.67</v>
      </c>
      <c r="G23" s="24">
        <v>10.9</v>
      </c>
      <c r="H23" s="24">
        <v>3480</v>
      </c>
      <c r="I23" s="33">
        <v>10</v>
      </c>
      <c r="J23" s="125">
        <f>LOG(I$19)-LOG(I23)</f>
        <v>6.1139433523068369</v>
      </c>
      <c r="K23" s="24">
        <v>0</v>
      </c>
      <c r="L23" s="24" t="s">
        <v>50</v>
      </c>
      <c r="M23" s="35"/>
      <c r="N23" s="35"/>
      <c r="O23" s="35"/>
      <c r="P23" s="233">
        <f t="shared" si="0"/>
        <v>42857.142857142862</v>
      </c>
    </row>
    <row r="24" spans="1:19" ht="15.75" thickBot="1" x14ac:dyDescent="0.3">
      <c r="A24" s="32">
        <v>30</v>
      </c>
      <c r="B24" s="24">
        <v>4.9000000000000004</v>
      </c>
      <c r="C24" s="24">
        <v>9.16</v>
      </c>
      <c r="D24" s="24">
        <v>9.6999999999999993</v>
      </c>
      <c r="E24" s="24">
        <v>2700</v>
      </c>
      <c r="F24" s="24">
        <v>0.31</v>
      </c>
      <c r="G24" s="24">
        <v>10.9</v>
      </c>
      <c r="H24" s="24">
        <v>3570</v>
      </c>
      <c r="I24" s="33">
        <v>0</v>
      </c>
      <c r="J24" s="24" t="s">
        <v>176</v>
      </c>
      <c r="K24" s="24">
        <v>0</v>
      </c>
      <c r="L24" s="24" t="s">
        <v>50</v>
      </c>
      <c r="M24" s="36">
        <v>46</v>
      </c>
      <c r="N24" s="36">
        <v>19584</v>
      </c>
      <c r="O24" s="36">
        <v>4955</v>
      </c>
      <c r="P24" s="233">
        <f t="shared" si="0"/>
        <v>85714.285714285725</v>
      </c>
    </row>
    <row r="25" spans="1:19" ht="15.75" thickBot="1" x14ac:dyDescent="0.3">
      <c r="A25" s="32" t="s">
        <v>52</v>
      </c>
      <c r="B25" s="24">
        <v>5.0999999999999996</v>
      </c>
      <c r="C25" s="24">
        <v>9.14</v>
      </c>
      <c r="D25" s="24">
        <v>9.7200000000000006</v>
      </c>
      <c r="E25" s="24">
        <v>2400</v>
      </c>
      <c r="F25" s="58">
        <v>0.39</v>
      </c>
      <c r="G25" s="24">
        <v>10.3</v>
      </c>
      <c r="H25" s="24">
        <v>3670</v>
      </c>
      <c r="I25" s="33">
        <v>0</v>
      </c>
      <c r="J25" s="24" t="s">
        <v>176</v>
      </c>
      <c r="K25" s="24">
        <v>0</v>
      </c>
      <c r="L25" s="24" t="s">
        <v>50</v>
      </c>
      <c r="M25" s="36">
        <v>54</v>
      </c>
      <c r="N25" s="36">
        <v>17194</v>
      </c>
      <c r="O25" s="27"/>
      <c r="P25" s="233"/>
    </row>
    <row r="26" spans="1:19" x14ac:dyDescent="0.25">
      <c r="A26" s="28"/>
      <c r="B26" s="28">
        <f>AVERAGE(B20:B23)</f>
        <v>4.8499999999999996</v>
      </c>
      <c r="C26" s="28">
        <f>AVERAGE(C20:C23)</f>
        <v>9.2125000000000004</v>
      </c>
      <c r="D26" s="28"/>
      <c r="E26" s="28"/>
      <c r="F26" s="28"/>
      <c r="G26" s="28"/>
      <c r="H26" s="28"/>
      <c r="I26" s="29"/>
      <c r="J26" s="28">
        <v>7.11</v>
      </c>
      <c r="K26" s="28"/>
      <c r="L26" s="28"/>
      <c r="M26" s="28"/>
      <c r="N26" s="28"/>
      <c r="O26" s="28"/>
    </row>
    <row r="27" spans="1:19" x14ac:dyDescent="0.25">
      <c r="A27" s="28" t="s">
        <v>140</v>
      </c>
      <c r="B27" s="8"/>
      <c r="C27" s="8"/>
      <c r="D27" s="8"/>
      <c r="E27" s="8"/>
      <c r="F27" s="8"/>
      <c r="G27" s="8"/>
      <c r="H27" s="8"/>
      <c r="I27" s="25"/>
      <c r="J27" s="8"/>
      <c r="K27" s="8"/>
      <c r="L27" s="8"/>
      <c r="M27" s="8"/>
      <c r="N27" s="28"/>
      <c r="O27" s="8"/>
    </row>
    <row r="28" spans="1:19" x14ac:dyDescent="0.25">
      <c r="A28" s="28"/>
      <c r="B28" s="28" t="s">
        <v>141</v>
      </c>
      <c r="C28" s="8"/>
      <c r="D28" s="8"/>
      <c r="E28" s="8"/>
      <c r="F28" s="8"/>
      <c r="G28" s="8"/>
      <c r="H28" s="8"/>
      <c r="I28" s="25"/>
      <c r="J28" s="8"/>
      <c r="K28" s="8"/>
      <c r="L28" s="8"/>
      <c r="M28" s="8"/>
      <c r="N28" s="28"/>
      <c r="O28" s="8"/>
    </row>
    <row r="29" spans="1:19" x14ac:dyDescent="0.25">
      <c r="A29" s="28" t="s">
        <v>53</v>
      </c>
      <c r="B29" s="28"/>
      <c r="C29" s="28"/>
      <c r="D29" s="28"/>
      <c r="E29" s="28"/>
      <c r="F29" s="28"/>
      <c r="G29" s="28"/>
      <c r="H29" s="28"/>
      <c r="I29" s="29"/>
      <c r="J29" s="28"/>
      <c r="K29" s="28"/>
      <c r="L29" s="28" t="s">
        <v>34</v>
      </c>
      <c r="M29" s="28"/>
      <c r="N29" s="28" t="s">
        <v>34</v>
      </c>
      <c r="O29" s="28"/>
    </row>
    <row r="30" spans="1:19" x14ac:dyDescent="0.25">
      <c r="A30" s="59"/>
      <c r="F30" s="28"/>
      <c r="G30" s="28"/>
      <c r="H30" s="28"/>
      <c r="I30" s="29"/>
      <c r="J30" s="28"/>
      <c r="K30" s="28"/>
      <c r="L30" s="28" t="s">
        <v>34</v>
      </c>
      <c r="M30" s="28" t="s">
        <v>34</v>
      </c>
      <c r="N30" s="28"/>
      <c r="O30" s="28"/>
    </row>
    <row r="31" spans="1:19" x14ac:dyDescent="0.25">
      <c r="A31" s="19" t="s">
        <v>28</v>
      </c>
      <c r="B31" s="28"/>
      <c r="C31" s="28"/>
      <c r="D31" s="28"/>
      <c r="E31" s="28"/>
      <c r="F31" s="28"/>
      <c r="G31" s="28"/>
      <c r="H31" s="28"/>
      <c r="I31" s="29"/>
      <c r="J31" s="28"/>
      <c r="K31" s="28"/>
      <c r="L31" s="28"/>
      <c r="M31" s="28"/>
      <c r="N31" s="28"/>
      <c r="O31" s="28"/>
    </row>
    <row r="32" spans="1:19" x14ac:dyDescent="0.25">
      <c r="A32" s="28"/>
      <c r="B32" s="22"/>
      <c r="C32" s="28"/>
      <c r="D32" s="28"/>
      <c r="E32" s="28"/>
      <c r="F32" s="28"/>
      <c r="G32" s="28"/>
      <c r="H32" s="28"/>
      <c r="I32" s="29"/>
      <c r="J32" s="28"/>
      <c r="K32" s="28"/>
      <c r="L32" s="28"/>
      <c r="M32" s="28"/>
      <c r="N32" s="28"/>
      <c r="O32" s="28"/>
    </row>
    <row r="33" spans="1:15" x14ac:dyDescent="0.25">
      <c r="A33" s="28"/>
      <c r="B33" s="189" t="s">
        <v>733</v>
      </c>
      <c r="C33" s="41"/>
      <c r="D33" s="41"/>
      <c r="E33" s="41"/>
      <c r="F33" s="41"/>
      <c r="G33" s="41"/>
      <c r="H33" s="41"/>
      <c r="I33" s="41"/>
      <c r="J33" s="41"/>
      <c r="K33" s="41"/>
      <c r="L33" s="41"/>
      <c r="M33" s="28"/>
      <c r="N33" s="28"/>
      <c r="O33" s="28"/>
    </row>
    <row r="34" spans="1:15" x14ac:dyDescent="0.25">
      <c r="A34" s="28"/>
      <c r="B34" s="41" t="s">
        <v>172</v>
      </c>
      <c r="C34" s="41"/>
      <c r="D34" s="41"/>
      <c r="E34" s="41"/>
      <c r="F34" s="41"/>
      <c r="G34" s="41"/>
      <c r="H34" s="41"/>
      <c r="I34" s="41"/>
      <c r="J34" s="41"/>
      <c r="K34" s="41"/>
      <c r="L34" s="41"/>
      <c r="M34" s="28"/>
      <c r="N34" s="28"/>
      <c r="O34" s="28"/>
    </row>
    <row r="35" spans="1:15" x14ac:dyDescent="0.25">
      <c r="A35" s="28"/>
      <c r="B35" s="22" t="s">
        <v>146</v>
      </c>
      <c r="C35" s="8"/>
      <c r="D35" s="8"/>
      <c r="E35" s="8"/>
      <c r="F35" s="8"/>
      <c r="G35" s="8"/>
      <c r="H35" s="8"/>
      <c r="I35" s="25"/>
      <c r="J35" s="8"/>
      <c r="K35" s="8"/>
      <c r="L35" s="28"/>
      <c r="M35" s="28"/>
      <c r="N35" s="28"/>
      <c r="O35" s="28"/>
    </row>
    <row r="36" spans="1:15" x14ac:dyDescent="0.25">
      <c r="A36" s="28"/>
      <c r="B36" s="22" t="s">
        <v>156</v>
      </c>
      <c r="C36" s="8"/>
      <c r="D36" s="8"/>
      <c r="E36" s="8"/>
      <c r="F36" s="8"/>
      <c r="G36" s="8"/>
      <c r="H36" s="8"/>
      <c r="I36" s="25"/>
      <c r="J36" s="8"/>
      <c r="K36" s="8"/>
      <c r="L36" s="28"/>
      <c r="M36" s="28"/>
      <c r="N36" s="28"/>
      <c r="O36" s="28"/>
    </row>
    <row r="37" spans="1:15" x14ac:dyDescent="0.25">
      <c r="A37" s="28"/>
      <c r="B37" s="20" t="s">
        <v>36</v>
      </c>
      <c r="C37" s="8"/>
      <c r="D37" s="8"/>
      <c r="E37" s="8"/>
      <c r="F37" s="8"/>
      <c r="G37" s="8"/>
      <c r="H37" s="8"/>
      <c r="I37" s="25"/>
      <c r="J37" s="8"/>
      <c r="K37" s="8"/>
      <c r="L37" s="28"/>
      <c r="M37" s="28"/>
      <c r="N37" s="28"/>
      <c r="O37" s="28"/>
    </row>
    <row r="38" spans="1:15" x14ac:dyDescent="0.25">
      <c r="A38" s="28"/>
      <c r="B38" s="22" t="s">
        <v>133</v>
      </c>
      <c r="L38" s="28"/>
      <c r="M38" s="28"/>
      <c r="N38" s="28"/>
      <c r="O38" s="28"/>
    </row>
    <row r="39" spans="1:15" x14ac:dyDescent="0.25">
      <c r="A39" s="28"/>
      <c r="L39" s="28"/>
      <c r="N39" s="28"/>
      <c r="O39" s="28"/>
    </row>
    <row r="40" spans="1:15" x14ac:dyDescent="0.25">
      <c r="A40" s="28"/>
      <c r="B40" s="22" t="s">
        <v>178</v>
      </c>
      <c r="C40" s="21"/>
      <c r="D40" s="21"/>
      <c r="E40" s="8"/>
      <c r="F40" s="8"/>
      <c r="G40" s="8"/>
      <c r="H40" s="8"/>
      <c r="I40" s="25"/>
      <c r="J40" s="8"/>
      <c r="K40" s="8"/>
      <c r="N40" s="28"/>
      <c r="O40" s="28"/>
    </row>
    <row r="41" spans="1:15" x14ac:dyDescent="0.25">
      <c r="A41" s="28"/>
      <c r="B41" s="41" t="s">
        <v>179</v>
      </c>
      <c r="M41" s="28"/>
      <c r="N41" s="28"/>
      <c r="O41" s="28"/>
    </row>
    <row r="42" spans="1:15" x14ac:dyDescent="0.25">
      <c r="A42" s="28"/>
      <c r="B42" s="41" t="s">
        <v>188</v>
      </c>
      <c r="C42" s="64"/>
      <c r="D42" s="64"/>
      <c r="E42" s="64"/>
      <c r="F42" s="64"/>
      <c r="G42" s="64"/>
      <c r="H42" s="64"/>
      <c r="I42" s="64"/>
      <c r="J42" s="64"/>
      <c r="K42" s="64"/>
      <c r="L42" s="65"/>
      <c r="M42" s="28"/>
      <c r="N42" s="28"/>
      <c r="O42" s="28" t="s">
        <v>34</v>
      </c>
    </row>
    <row r="43" spans="1:15" x14ac:dyDescent="0.25">
      <c r="B43" s="22" t="s">
        <v>177</v>
      </c>
      <c r="C43" s="8"/>
      <c r="D43" s="8"/>
      <c r="E43" s="8"/>
      <c r="F43" s="8"/>
      <c r="G43" s="8"/>
      <c r="H43" s="8"/>
      <c r="I43" s="25"/>
      <c r="J43" s="8"/>
      <c r="K43" s="8"/>
      <c r="L43" s="28"/>
      <c r="M43" s="28"/>
      <c r="N43" s="28"/>
      <c r="O43" s="28"/>
    </row>
    <row r="44" spans="1:15" x14ac:dyDescent="0.25">
      <c r="M44" s="28"/>
      <c r="N44" s="28"/>
      <c r="O44" s="28"/>
    </row>
    <row r="45" spans="1:15" x14ac:dyDescent="0.25">
      <c r="B45" s="41" t="s">
        <v>154</v>
      </c>
      <c r="C45" s="41"/>
      <c r="D45" s="41"/>
      <c r="E45" s="41"/>
      <c r="F45" s="41"/>
      <c r="G45" s="41"/>
      <c r="H45" s="41"/>
      <c r="I45" s="41"/>
      <c r="J45" s="41"/>
      <c r="K45" s="41"/>
      <c r="M45" s="28"/>
      <c r="N45" s="28"/>
      <c r="O45" s="28"/>
    </row>
    <row r="46" spans="1:15" x14ac:dyDescent="0.25">
      <c r="B46" s="41" t="s">
        <v>155</v>
      </c>
      <c r="C46" s="41"/>
      <c r="D46" s="41"/>
      <c r="E46" s="41"/>
      <c r="F46" s="41"/>
      <c r="G46" s="41"/>
      <c r="H46" s="41"/>
      <c r="I46" s="41"/>
      <c r="J46" s="41"/>
      <c r="K46" s="41"/>
      <c r="M46" s="28"/>
      <c r="N46" s="28"/>
      <c r="O46" s="28"/>
    </row>
    <row r="47" spans="1:15" x14ac:dyDescent="0.25">
      <c r="B47" s="22" t="s">
        <v>157</v>
      </c>
      <c r="C47" s="28"/>
      <c r="D47" s="28"/>
      <c r="E47" s="28"/>
      <c r="F47" s="28"/>
      <c r="G47" s="28"/>
      <c r="H47" s="29"/>
      <c r="I47" s="28"/>
      <c r="J47" s="41"/>
      <c r="K47" s="28"/>
      <c r="M47" s="28" t="s">
        <v>34</v>
      </c>
      <c r="N47" s="28"/>
      <c r="O47" s="28"/>
    </row>
    <row r="48" spans="1:15" x14ac:dyDescent="0.25">
      <c r="M48" s="28"/>
      <c r="N48" s="28"/>
      <c r="O48" s="28"/>
    </row>
  </sheetData>
  <pageMargins left="0.7" right="0.7" top="0.75" bottom="0.75" header="0.3" footer="0.3"/>
  <pageSetup scale="67" orientation="landscape" verticalDpi="597"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008080"/>
    <pageSetUpPr fitToPage="1"/>
  </sheetPr>
  <dimension ref="A6:S47"/>
  <sheetViews>
    <sheetView zoomScale="90" zoomScaleNormal="90" workbookViewId="0"/>
  </sheetViews>
  <sheetFormatPr defaultRowHeight="15" x14ac:dyDescent="0.25"/>
  <cols>
    <col min="2" max="2" width="9.7109375"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40952</v>
      </c>
      <c r="C7" s="28"/>
      <c r="D7" s="28"/>
      <c r="E7" s="28"/>
      <c r="F7" s="28"/>
      <c r="G7" s="28"/>
      <c r="H7" s="28"/>
      <c r="I7" s="29"/>
      <c r="J7" s="28"/>
      <c r="K7" s="28"/>
      <c r="L7" s="28"/>
      <c r="M7" s="28"/>
      <c r="N7" s="28"/>
      <c r="O7" s="28"/>
    </row>
    <row r="8" spans="1:15" x14ac:dyDescent="0.25">
      <c r="A8" s="28" t="s">
        <v>14</v>
      </c>
      <c r="B8" s="28">
        <v>11</v>
      </c>
      <c r="C8" s="28" t="s">
        <v>481</v>
      </c>
      <c r="D8" s="28"/>
      <c r="E8" s="28"/>
      <c r="F8" s="28"/>
      <c r="G8" s="28"/>
      <c r="H8" s="28"/>
      <c r="I8" s="29"/>
      <c r="J8" s="28"/>
      <c r="K8" s="28" t="s">
        <v>34</v>
      </c>
      <c r="L8" s="28" t="s">
        <v>34</v>
      </c>
      <c r="M8" s="28"/>
      <c r="N8" s="28"/>
      <c r="O8" s="28"/>
    </row>
    <row r="9" spans="1:15" x14ac:dyDescent="0.25">
      <c r="A9" s="8" t="s">
        <v>15</v>
      </c>
      <c r="B9" s="8">
        <v>7</v>
      </c>
      <c r="C9" s="28" t="s">
        <v>175</v>
      </c>
      <c r="D9" s="8"/>
      <c r="E9" s="8"/>
      <c r="F9" s="8"/>
      <c r="G9" s="8"/>
      <c r="H9" s="8"/>
      <c r="I9" s="25"/>
      <c r="J9" s="8"/>
      <c r="K9" s="8"/>
      <c r="L9" s="8"/>
      <c r="M9" s="8"/>
      <c r="N9" s="8"/>
      <c r="O9" s="8"/>
    </row>
    <row r="10" spans="1:15" x14ac:dyDescent="0.25">
      <c r="A10" s="28" t="s">
        <v>16</v>
      </c>
      <c r="B10" s="87">
        <v>2000</v>
      </c>
      <c r="C10" s="31" t="s">
        <v>143</v>
      </c>
      <c r="D10" s="28"/>
      <c r="E10" s="28"/>
      <c r="F10" s="28"/>
      <c r="G10" s="28"/>
      <c r="H10" s="28"/>
      <c r="I10" s="29" t="s">
        <v>34</v>
      </c>
      <c r="J10" s="28" t="s">
        <v>34</v>
      </c>
      <c r="K10" s="28" t="s">
        <v>34</v>
      </c>
      <c r="L10" s="28" t="s">
        <v>34</v>
      </c>
      <c r="M10" s="28" t="s">
        <v>34</v>
      </c>
      <c r="N10" s="28" t="s">
        <v>34</v>
      </c>
      <c r="O10" s="28"/>
    </row>
    <row r="11" spans="1:15" x14ac:dyDescent="0.25">
      <c r="A11" s="28"/>
      <c r="B11" s="243">
        <v>200000000</v>
      </c>
      <c r="C11" s="31" t="s">
        <v>58</v>
      </c>
      <c r="D11" s="28"/>
      <c r="E11" s="28"/>
      <c r="F11" s="28"/>
      <c r="G11" s="28"/>
      <c r="H11" s="28"/>
      <c r="I11" s="29"/>
      <c r="J11" s="28"/>
      <c r="K11" s="28" t="s">
        <v>34</v>
      </c>
      <c r="L11" s="28"/>
      <c r="M11" s="28"/>
      <c r="N11" s="28"/>
      <c r="O11" s="28"/>
    </row>
    <row r="12" spans="1:15" x14ac:dyDescent="0.25">
      <c r="A12" s="28"/>
      <c r="B12" s="31">
        <v>95</v>
      </c>
      <c r="C12" s="31" t="s">
        <v>701</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42"/>
      <c r="J13" s="28"/>
      <c r="K13" s="28"/>
      <c r="L13" s="28"/>
      <c r="M13" s="28"/>
      <c r="N13" s="28"/>
      <c r="O13" s="28"/>
    </row>
    <row r="14" spans="1:15" x14ac:dyDescent="0.25">
      <c r="A14" s="28"/>
      <c r="B14" s="31">
        <v>100</v>
      </c>
      <c r="C14" s="87" t="s">
        <v>696</v>
      </c>
      <c r="D14" s="28"/>
      <c r="E14" s="28"/>
      <c r="F14" s="28"/>
      <c r="G14" s="28"/>
      <c r="H14" s="28"/>
      <c r="I14" s="242"/>
      <c r="J14" s="28"/>
      <c r="K14" s="28"/>
      <c r="L14" s="28"/>
      <c r="M14" s="28"/>
      <c r="N14" s="28"/>
      <c r="O14" s="28"/>
    </row>
    <row r="15" spans="1:15" x14ac:dyDescent="0.25">
      <c r="A15" s="28"/>
      <c r="B15" s="31">
        <v>0</v>
      </c>
      <c r="C15" s="87" t="s">
        <v>698</v>
      </c>
      <c r="D15" s="28"/>
      <c r="E15" s="28"/>
      <c r="F15" s="28"/>
      <c r="G15" s="28"/>
      <c r="H15" s="28"/>
      <c r="I15" s="242"/>
      <c r="J15" s="28"/>
      <c r="K15" s="28"/>
      <c r="L15" s="28"/>
      <c r="M15" s="28"/>
      <c r="N15" s="28"/>
      <c r="O15" s="28"/>
    </row>
    <row r="16" spans="1:15" x14ac:dyDescent="0.25">
      <c r="A16" s="28"/>
      <c r="B16" s="232">
        <f>(B12*B13/100*1000)/(B10+B12-B14+B15)*1000</f>
        <v>2857.1428571428573</v>
      </c>
      <c r="C16" s="28" t="s">
        <v>700</v>
      </c>
      <c r="D16" s="28"/>
      <c r="E16" s="28"/>
      <c r="F16" s="28"/>
      <c r="G16" s="28"/>
      <c r="H16" s="28"/>
      <c r="I16" s="242"/>
      <c r="J16" s="28"/>
      <c r="K16" s="28"/>
      <c r="L16" s="28"/>
      <c r="M16" s="28"/>
      <c r="N16" s="28"/>
      <c r="O16" s="28"/>
    </row>
    <row r="17" spans="1:19" ht="15.75" thickBot="1" x14ac:dyDescent="0.3">
      <c r="A17" s="28"/>
      <c r="B17" s="28"/>
      <c r="C17" s="28" t="s">
        <v>705</v>
      </c>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18</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4.5999999999999996</v>
      </c>
      <c r="C19" s="23">
        <v>9.18</v>
      </c>
      <c r="D19" s="23">
        <v>9.0299999999999994</v>
      </c>
      <c r="E19" s="23">
        <v>0.26</v>
      </c>
      <c r="F19" s="23">
        <v>0.89</v>
      </c>
      <c r="G19" s="23">
        <v>11.2</v>
      </c>
      <c r="H19" s="23">
        <v>2790</v>
      </c>
      <c r="I19" s="33">
        <v>11000000</v>
      </c>
      <c r="J19" s="125">
        <f>LOG(I$19)-LOG(I19)</f>
        <v>0</v>
      </c>
      <c r="K19" s="33">
        <v>17000000</v>
      </c>
      <c r="L19" s="23" t="s">
        <v>26</v>
      </c>
      <c r="M19" s="34"/>
      <c r="N19" s="34"/>
      <c r="O19" s="35"/>
      <c r="P19" s="233">
        <f t="shared" ref="P19:P24" si="0">B$16*A19</f>
        <v>0</v>
      </c>
      <c r="Q19" s="233">
        <f>6/LINEST(J19:J22,P19:P22,FALSE)</f>
        <v>29481.58882150803</v>
      </c>
      <c r="R19" s="233">
        <f>Q19/3000</f>
        <v>9.8271962738360106</v>
      </c>
      <c r="S19" s="233">
        <f>(J26/LINEST($J19:$J22,$P19:$P22,FALSE))/$B$16</f>
        <v>12.107105809365963</v>
      </c>
    </row>
    <row r="20" spans="1:19" ht="15.75" thickBot="1" x14ac:dyDescent="0.3">
      <c r="A20" s="32">
        <v>3</v>
      </c>
      <c r="B20" s="24">
        <v>5.2</v>
      </c>
      <c r="C20" s="24">
        <v>9.1199999999999992</v>
      </c>
      <c r="D20" s="24">
        <v>10.01</v>
      </c>
      <c r="E20" s="24">
        <v>2300</v>
      </c>
      <c r="F20" s="24">
        <v>0.51</v>
      </c>
      <c r="G20" s="24">
        <v>11.8</v>
      </c>
      <c r="H20" s="24">
        <v>3120</v>
      </c>
      <c r="I20" s="33">
        <v>2600000</v>
      </c>
      <c r="J20" s="125">
        <f>LOG(I$19)-LOG(I20)</f>
        <v>0.62641933718740717</v>
      </c>
      <c r="K20" s="33">
        <v>2300000</v>
      </c>
      <c r="L20" s="24">
        <v>0.87</v>
      </c>
      <c r="M20" s="35"/>
      <c r="N20" s="35"/>
      <c r="O20" s="35"/>
      <c r="P20" s="233">
        <f t="shared" si="0"/>
        <v>8571.4285714285725</v>
      </c>
    </row>
    <row r="21" spans="1:19" ht="15.75" thickBot="1" x14ac:dyDescent="0.3">
      <c r="A21" s="32">
        <v>5</v>
      </c>
      <c r="B21" s="24">
        <v>5.2</v>
      </c>
      <c r="C21" s="24">
        <v>9.1</v>
      </c>
      <c r="D21" s="24">
        <v>9.9499999999999993</v>
      </c>
      <c r="E21" s="24">
        <v>2400</v>
      </c>
      <c r="F21" s="24">
        <v>0.46</v>
      </c>
      <c r="G21" s="24">
        <v>10.199999999999999</v>
      </c>
      <c r="H21" s="24">
        <v>3100</v>
      </c>
      <c r="I21" s="33">
        <v>33000</v>
      </c>
      <c r="J21" s="125">
        <f>LOG(I$19)-LOG(I21)</f>
        <v>2.5228787452803383</v>
      </c>
      <c r="K21" s="24">
        <v>0</v>
      </c>
      <c r="L21" s="24" t="s">
        <v>37</v>
      </c>
      <c r="M21" s="35"/>
      <c r="N21" s="35"/>
      <c r="O21" s="35"/>
      <c r="P21" s="233">
        <f t="shared" si="0"/>
        <v>14285.714285714286</v>
      </c>
    </row>
    <row r="22" spans="1:19" ht="15.75" thickBot="1" x14ac:dyDescent="0.3">
      <c r="A22" s="32">
        <v>10</v>
      </c>
      <c r="B22" s="24">
        <v>5.3</v>
      </c>
      <c r="C22" s="24">
        <v>9.14</v>
      </c>
      <c r="D22" s="24">
        <v>9.98</v>
      </c>
      <c r="E22" s="24">
        <v>2300</v>
      </c>
      <c r="F22" s="24">
        <v>0.41</v>
      </c>
      <c r="G22" s="24">
        <v>9.1</v>
      </c>
      <c r="H22" s="24">
        <v>3240</v>
      </c>
      <c r="I22" s="63">
        <v>5</v>
      </c>
      <c r="J22" s="125">
        <f>LOG(I$19)-LOG(I22)</f>
        <v>6.3424226808222066</v>
      </c>
      <c r="K22" s="24">
        <v>0</v>
      </c>
      <c r="L22" s="24" t="s">
        <v>37</v>
      </c>
      <c r="M22" s="35"/>
      <c r="N22" s="35"/>
      <c r="O22" s="35"/>
      <c r="P22" s="233">
        <f t="shared" si="0"/>
        <v>28571.428571428572</v>
      </c>
    </row>
    <row r="23" spans="1:19" ht="15.75" thickBot="1" x14ac:dyDescent="0.3">
      <c r="A23" s="32">
        <v>15</v>
      </c>
      <c r="B23" s="24">
        <v>5.3</v>
      </c>
      <c r="C23" s="24">
        <v>9.16</v>
      </c>
      <c r="D23" s="24">
        <v>9.9499999999999993</v>
      </c>
      <c r="E23" s="24">
        <v>2400</v>
      </c>
      <c r="F23" s="24">
        <v>0.34</v>
      </c>
      <c r="G23" s="24">
        <v>10</v>
      </c>
      <c r="H23" s="24">
        <v>2940</v>
      </c>
      <c r="I23" s="33">
        <v>0</v>
      </c>
      <c r="J23" s="24" t="s">
        <v>180</v>
      </c>
      <c r="K23" s="24">
        <v>0</v>
      </c>
      <c r="L23" s="24" t="s">
        <v>37</v>
      </c>
      <c r="M23" s="35"/>
      <c r="N23" s="35"/>
      <c r="O23" s="35"/>
      <c r="P23" s="233">
        <f t="shared" si="0"/>
        <v>42857.142857142862</v>
      </c>
    </row>
    <row r="24" spans="1:19" ht="15.75" thickBot="1" x14ac:dyDescent="0.3">
      <c r="A24" s="32">
        <v>30</v>
      </c>
      <c r="B24" s="24">
        <v>5.3</v>
      </c>
      <c r="C24" s="24">
        <v>9.1999999999999993</v>
      </c>
      <c r="D24" s="24">
        <v>10.050000000000001</v>
      </c>
      <c r="E24" s="24">
        <v>2400</v>
      </c>
      <c r="F24" s="24">
        <v>0.25</v>
      </c>
      <c r="G24" s="24">
        <v>9.8000000000000007</v>
      </c>
      <c r="H24" s="24">
        <v>3250</v>
      </c>
      <c r="I24" s="33">
        <v>0</v>
      </c>
      <c r="J24" s="24" t="s">
        <v>180</v>
      </c>
      <c r="K24" s="24">
        <v>0</v>
      </c>
      <c r="L24" s="24" t="s">
        <v>37</v>
      </c>
      <c r="M24" s="36">
        <v>20</v>
      </c>
      <c r="N24" s="36">
        <v>17131</v>
      </c>
      <c r="O24" s="36">
        <v>5600</v>
      </c>
      <c r="P24" s="233">
        <f t="shared" si="0"/>
        <v>85714.285714285725</v>
      </c>
    </row>
    <row r="25" spans="1:19" ht="15.75" thickBot="1" x14ac:dyDescent="0.3">
      <c r="A25" s="32" t="s">
        <v>52</v>
      </c>
      <c r="B25" s="24">
        <v>5.3</v>
      </c>
      <c r="C25" s="24">
        <v>9.1999999999999993</v>
      </c>
      <c r="D25" s="24">
        <v>10.01</v>
      </c>
      <c r="E25" s="24">
        <v>2300</v>
      </c>
      <c r="F25" s="58">
        <v>0.5</v>
      </c>
      <c r="G25" s="24">
        <v>9.8000000000000007</v>
      </c>
      <c r="H25" s="24">
        <v>3300</v>
      </c>
      <c r="I25" s="33">
        <v>0</v>
      </c>
      <c r="J25" s="24" t="s">
        <v>180</v>
      </c>
      <c r="K25" s="24">
        <v>0</v>
      </c>
      <c r="L25" s="24" t="s">
        <v>37</v>
      </c>
      <c r="M25" s="36">
        <v>17</v>
      </c>
      <c r="N25" s="36">
        <v>19094</v>
      </c>
      <c r="O25" s="27"/>
      <c r="P25" s="233"/>
    </row>
    <row r="26" spans="1:19" x14ac:dyDescent="0.25">
      <c r="A26" s="28"/>
      <c r="B26" s="28">
        <f>AVERAGE(B20:B22)</f>
        <v>5.2333333333333334</v>
      </c>
      <c r="C26" s="28">
        <f>AVERAGE(C20:C22)</f>
        <v>9.1199999999999992</v>
      </c>
      <c r="D26" s="28"/>
      <c r="E26" s="28"/>
      <c r="F26" s="28"/>
      <c r="G26" s="28"/>
      <c r="H26" s="28"/>
      <c r="I26" s="29"/>
      <c r="J26" s="28">
        <v>7.04</v>
      </c>
      <c r="K26" s="28"/>
      <c r="L26" s="28"/>
      <c r="M26" s="28"/>
      <c r="N26" s="28"/>
      <c r="O26" s="28"/>
    </row>
    <row r="27" spans="1:19" x14ac:dyDescent="0.25">
      <c r="A27" s="28" t="s">
        <v>140</v>
      </c>
      <c r="B27" s="8"/>
      <c r="C27" s="8"/>
      <c r="D27" s="8"/>
      <c r="E27" s="8"/>
      <c r="F27" s="8"/>
      <c r="G27" s="8"/>
      <c r="H27" s="8"/>
      <c r="I27" s="25"/>
      <c r="J27" s="8"/>
      <c r="K27" s="8"/>
      <c r="L27" s="8"/>
      <c r="M27" s="8"/>
      <c r="N27" s="28"/>
      <c r="O27" s="8"/>
    </row>
    <row r="28" spans="1:19" x14ac:dyDescent="0.25">
      <c r="A28" s="28"/>
      <c r="B28" s="28" t="s">
        <v>141</v>
      </c>
      <c r="C28" s="8"/>
      <c r="D28" s="8"/>
      <c r="E28" s="8"/>
      <c r="F28" s="8"/>
      <c r="G28" s="8"/>
      <c r="H28" s="8"/>
      <c r="I28" s="25"/>
      <c r="J28" s="8"/>
      <c r="K28" s="8"/>
      <c r="L28" s="8"/>
      <c r="M28" s="8"/>
      <c r="N28" s="28"/>
      <c r="O28" s="8"/>
    </row>
    <row r="29" spans="1:19" x14ac:dyDescent="0.25">
      <c r="A29" s="28" t="s">
        <v>53</v>
      </c>
      <c r="B29" s="28"/>
      <c r="C29" s="28"/>
      <c r="D29" s="28"/>
      <c r="E29" s="28"/>
      <c r="F29" s="28"/>
      <c r="G29" s="28"/>
      <c r="H29" s="28"/>
      <c r="I29" s="29"/>
      <c r="J29" s="28"/>
      <c r="K29" s="28"/>
      <c r="L29" s="28" t="s">
        <v>34</v>
      </c>
      <c r="M29" s="28"/>
      <c r="N29" s="28" t="s">
        <v>34</v>
      </c>
      <c r="O29" s="28"/>
    </row>
    <row r="30" spans="1:19" x14ac:dyDescent="0.25">
      <c r="A30" s="59"/>
      <c r="F30" s="28"/>
      <c r="G30" s="28"/>
      <c r="H30" s="28"/>
      <c r="I30" s="29"/>
      <c r="J30" s="28"/>
      <c r="K30" s="28"/>
      <c r="L30" s="28" t="s">
        <v>34</v>
      </c>
      <c r="M30" s="28" t="s">
        <v>34</v>
      </c>
      <c r="N30" s="28"/>
      <c r="O30" s="28"/>
    </row>
    <row r="31" spans="1:19" x14ac:dyDescent="0.25">
      <c r="A31" s="19" t="s">
        <v>28</v>
      </c>
      <c r="B31" s="28"/>
      <c r="C31" s="28"/>
      <c r="D31" s="28"/>
      <c r="E31" s="28"/>
      <c r="F31" s="28"/>
      <c r="G31" s="28"/>
      <c r="H31" s="28"/>
      <c r="I31" s="29"/>
      <c r="J31" s="28"/>
      <c r="K31" s="28"/>
      <c r="L31" s="28"/>
      <c r="M31" s="28"/>
      <c r="N31" s="28"/>
      <c r="O31" s="28"/>
    </row>
    <row r="32" spans="1:19" x14ac:dyDescent="0.25">
      <c r="A32" s="28"/>
      <c r="B32" s="22"/>
      <c r="C32" s="28"/>
      <c r="D32" s="28"/>
      <c r="E32" s="28"/>
      <c r="F32" s="28"/>
      <c r="G32" s="28"/>
      <c r="H32" s="28"/>
      <c r="I32" s="29"/>
      <c r="J32" s="28"/>
      <c r="K32" s="28"/>
      <c r="L32" s="28"/>
      <c r="M32" s="28"/>
      <c r="N32" s="28"/>
      <c r="O32" s="28"/>
    </row>
    <row r="33" spans="1:15" x14ac:dyDescent="0.25">
      <c r="A33" s="28"/>
      <c r="B33" s="41" t="s">
        <v>181</v>
      </c>
      <c r="C33" s="41"/>
      <c r="D33" s="41"/>
      <c r="E33" s="41"/>
      <c r="F33" s="41"/>
      <c r="G33" s="41"/>
      <c r="H33" s="41"/>
      <c r="I33" s="41"/>
      <c r="J33" s="41"/>
      <c r="K33" s="41"/>
      <c r="L33" s="41"/>
      <c r="M33" s="28"/>
      <c r="N33" s="28"/>
      <c r="O33" s="28"/>
    </row>
    <row r="34" spans="1:15" x14ac:dyDescent="0.25">
      <c r="A34" s="28"/>
      <c r="B34" s="41" t="s">
        <v>172</v>
      </c>
      <c r="C34" s="41"/>
      <c r="D34" s="41"/>
      <c r="E34" s="41"/>
      <c r="F34" s="41"/>
      <c r="G34" s="41"/>
      <c r="H34" s="41"/>
      <c r="I34" s="41"/>
      <c r="J34" s="41"/>
      <c r="K34" s="41"/>
      <c r="L34" s="41"/>
      <c r="M34" s="28"/>
      <c r="N34" s="28"/>
      <c r="O34" s="28"/>
    </row>
    <row r="35" spans="1:15" x14ac:dyDescent="0.25">
      <c r="A35" s="28"/>
      <c r="B35" s="22" t="s">
        <v>146</v>
      </c>
      <c r="C35" s="8"/>
      <c r="D35" s="8"/>
      <c r="E35" s="8"/>
      <c r="F35" s="8"/>
      <c r="G35" s="8"/>
      <c r="H35" s="8"/>
      <c r="I35" s="25"/>
      <c r="J35" s="8"/>
      <c r="K35" s="8"/>
      <c r="L35" s="28"/>
      <c r="M35" s="28"/>
      <c r="N35" s="28"/>
      <c r="O35" s="28"/>
    </row>
    <row r="36" spans="1:15" x14ac:dyDescent="0.25">
      <c r="A36" s="28"/>
      <c r="B36" s="22" t="s">
        <v>156</v>
      </c>
      <c r="C36" s="8"/>
      <c r="D36" s="8"/>
      <c r="E36" s="8"/>
      <c r="F36" s="8"/>
      <c r="G36" s="8"/>
      <c r="H36" s="8"/>
      <c r="I36" s="25"/>
      <c r="J36" s="8"/>
      <c r="K36" s="8"/>
      <c r="L36" s="28"/>
      <c r="M36" s="28"/>
      <c r="N36" s="28"/>
      <c r="O36" s="28"/>
    </row>
    <row r="37" spans="1:15" x14ac:dyDescent="0.25">
      <c r="A37" s="28"/>
      <c r="B37" s="20" t="s">
        <v>36</v>
      </c>
      <c r="C37" s="8"/>
      <c r="D37" s="8"/>
      <c r="E37" s="8"/>
      <c r="F37" s="8"/>
      <c r="G37" s="8"/>
      <c r="H37" s="8"/>
      <c r="I37" s="25"/>
      <c r="J37" s="8"/>
      <c r="K37" s="8"/>
      <c r="L37" s="28"/>
      <c r="M37" s="28"/>
      <c r="N37" s="28"/>
      <c r="O37" s="28"/>
    </row>
    <row r="38" spans="1:15" x14ac:dyDescent="0.25">
      <c r="A38" s="28"/>
      <c r="B38" s="22" t="s">
        <v>133</v>
      </c>
      <c r="L38" s="28"/>
      <c r="M38" s="28"/>
      <c r="N38" s="28"/>
      <c r="O38" s="28"/>
    </row>
    <row r="39" spans="1:15" x14ac:dyDescent="0.25">
      <c r="A39" s="28"/>
      <c r="L39" s="28"/>
      <c r="N39" s="28"/>
      <c r="O39" s="28"/>
    </row>
    <row r="40" spans="1:15" x14ac:dyDescent="0.25">
      <c r="A40" s="28"/>
      <c r="B40" s="22" t="s">
        <v>182</v>
      </c>
      <c r="C40" s="21"/>
      <c r="D40" s="21"/>
      <c r="E40" s="8"/>
      <c r="F40" s="8"/>
      <c r="G40" s="8"/>
      <c r="H40" s="8"/>
      <c r="I40" s="25"/>
      <c r="J40" s="8"/>
      <c r="K40" s="8"/>
      <c r="N40" s="28"/>
      <c r="O40" s="28"/>
    </row>
    <row r="41" spans="1:15" x14ac:dyDescent="0.25">
      <c r="A41" s="28"/>
      <c r="B41" s="41" t="s">
        <v>183</v>
      </c>
      <c r="M41" s="28"/>
      <c r="N41" s="28"/>
      <c r="O41" s="28"/>
    </row>
    <row r="42" spans="1:15" x14ac:dyDescent="0.25">
      <c r="A42" s="28"/>
      <c r="B42" s="41" t="s">
        <v>188</v>
      </c>
      <c r="C42" s="64"/>
      <c r="D42" s="64"/>
      <c r="E42" s="64"/>
      <c r="F42" s="64"/>
      <c r="G42" s="64"/>
      <c r="H42" s="64"/>
      <c r="I42" s="64"/>
      <c r="J42" s="64"/>
      <c r="K42" s="64"/>
      <c r="L42" s="65"/>
      <c r="M42" s="28"/>
      <c r="N42" s="28"/>
      <c r="O42" s="28" t="s">
        <v>34</v>
      </c>
    </row>
    <row r="43" spans="1:15" x14ac:dyDescent="0.25">
      <c r="B43" s="22" t="s">
        <v>177</v>
      </c>
      <c r="C43" s="8"/>
      <c r="D43" s="8"/>
      <c r="E43" s="8"/>
      <c r="F43" s="8"/>
      <c r="G43" s="8"/>
      <c r="H43" s="8"/>
      <c r="I43" s="25"/>
      <c r="J43" s="8"/>
      <c r="K43" s="8"/>
      <c r="L43" s="28"/>
      <c r="M43" s="28"/>
      <c r="N43" s="28"/>
      <c r="O43" s="28"/>
    </row>
    <row r="44" spans="1:15" x14ac:dyDescent="0.25">
      <c r="M44" s="28"/>
      <c r="N44" s="28"/>
      <c r="O44" s="28"/>
    </row>
    <row r="45" spans="1:15" x14ac:dyDescent="0.25">
      <c r="B45" s="41" t="s">
        <v>154</v>
      </c>
      <c r="C45" s="41"/>
      <c r="D45" s="41"/>
      <c r="E45" s="41"/>
      <c r="F45" s="41"/>
      <c r="G45" s="41"/>
      <c r="H45" s="41"/>
      <c r="I45" s="41"/>
      <c r="J45" s="41"/>
      <c r="K45" s="41"/>
    </row>
    <row r="46" spans="1:15" x14ac:dyDescent="0.25">
      <c r="B46" s="41" t="s">
        <v>155</v>
      </c>
      <c r="C46" s="41"/>
      <c r="D46" s="41"/>
      <c r="E46" s="41"/>
      <c r="F46" s="41"/>
      <c r="G46" s="41"/>
      <c r="H46" s="41"/>
      <c r="I46" s="41"/>
      <c r="J46" s="41"/>
      <c r="K46" s="41"/>
    </row>
    <row r="47" spans="1:15" x14ac:dyDescent="0.25">
      <c r="B47" s="22" t="s">
        <v>157</v>
      </c>
      <c r="C47" s="28"/>
      <c r="D47" s="28"/>
      <c r="E47" s="28"/>
      <c r="F47" s="28"/>
      <c r="G47" s="28"/>
      <c r="H47" s="29"/>
      <c r="I47" s="28"/>
      <c r="J47" s="41"/>
      <c r="K47" s="28"/>
    </row>
  </sheetData>
  <pageMargins left="0.7" right="0.7" top="0.75" bottom="0.75" header="0.3" footer="0.3"/>
  <pageSetup scale="67" orientation="landscape" verticalDpi="597"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008080"/>
    <pageSetUpPr fitToPage="1"/>
  </sheetPr>
  <dimension ref="A6:S48"/>
  <sheetViews>
    <sheetView zoomScale="90" zoomScaleNormal="90" workbookViewId="0"/>
  </sheetViews>
  <sheetFormatPr defaultRowHeight="15" x14ac:dyDescent="0.25"/>
  <cols>
    <col min="2" max="2" width="10"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40954</v>
      </c>
      <c r="C7" s="28"/>
      <c r="D7" s="28"/>
      <c r="E7" s="28"/>
      <c r="F7" s="28"/>
      <c r="G7" s="28"/>
      <c r="H7" s="28"/>
      <c r="I7" s="29"/>
      <c r="J7" s="28"/>
      <c r="K7" s="28"/>
      <c r="L7" s="28"/>
      <c r="M7" s="28"/>
      <c r="N7" s="28"/>
      <c r="O7" s="28"/>
    </row>
    <row r="8" spans="1:15" x14ac:dyDescent="0.25">
      <c r="A8" s="28" t="s">
        <v>14</v>
      </c>
      <c r="B8" s="28">
        <v>12</v>
      </c>
      <c r="C8" s="28" t="s">
        <v>482</v>
      </c>
      <c r="D8" s="28"/>
      <c r="E8" s="28"/>
      <c r="F8" s="28"/>
      <c r="G8" s="28"/>
      <c r="H8" s="28"/>
      <c r="I8" s="29"/>
      <c r="J8" s="28"/>
      <c r="K8" s="28" t="s">
        <v>34</v>
      </c>
      <c r="L8" s="28" t="s">
        <v>34</v>
      </c>
      <c r="M8" s="28"/>
      <c r="N8" s="28"/>
      <c r="O8" s="28"/>
    </row>
    <row r="9" spans="1:15" x14ac:dyDescent="0.25">
      <c r="A9" s="8" t="s">
        <v>15</v>
      </c>
      <c r="B9" s="8">
        <v>7</v>
      </c>
      <c r="C9" s="28" t="s">
        <v>175</v>
      </c>
      <c r="D9" s="8"/>
      <c r="E9" s="8"/>
      <c r="F9" s="8"/>
      <c r="G9" s="8"/>
      <c r="H9" s="8"/>
      <c r="I9" s="25"/>
      <c r="J9" s="8"/>
      <c r="K9" s="8"/>
      <c r="L9" s="8"/>
      <c r="M9" s="8"/>
      <c r="N9" s="8"/>
      <c r="O9" s="8"/>
    </row>
    <row r="10" spans="1:15" x14ac:dyDescent="0.25">
      <c r="A10" s="28" t="s">
        <v>16</v>
      </c>
      <c r="B10" s="87">
        <v>2000</v>
      </c>
      <c r="C10" s="31" t="s">
        <v>143</v>
      </c>
      <c r="D10" s="28"/>
      <c r="E10" s="28"/>
      <c r="F10" s="28"/>
      <c r="G10" s="28"/>
      <c r="H10" s="28"/>
      <c r="I10" s="29" t="s">
        <v>34</v>
      </c>
      <c r="J10" s="28" t="s">
        <v>34</v>
      </c>
      <c r="K10" s="28" t="s">
        <v>34</v>
      </c>
      <c r="L10" s="28" t="s">
        <v>34</v>
      </c>
      <c r="M10" s="28" t="s">
        <v>34</v>
      </c>
      <c r="N10" s="28" t="s">
        <v>34</v>
      </c>
      <c r="O10" s="28"/>
    </row>
    <row r="11" spans="1:15" x14ac:dyDescent="0.25">
      <c r="A11" s="28"/>
      <c r="B11" s="243">
        <v>200000000</v>
      </c>
      <c r="C11" s="31" t="s">
        <v>58</v>
      </c>
      <c r="D11" s="28"/>
      <c r="E11" s="28"/>
      <c r="F11" s="28"/>
      <c r="G11" s="28"/>
      <c r="H11" s="28"/>
      <c r="I11" s="29"/>
      <c r="J11" s="28"/>
      <c r="K11" s="28" t="s">
        <v>34</v>
      </c>
      <c r="L11" s="28"/>
      <c r="M11" s="28"/>
      <c r="N11" s="28"/>
      <c r="O11" s="28"/>
    </row>
    <row r="12" spans="1:15" x14ac:dyDescent="0.25">
      <c r="A12" s="28"/>
      <c r="B12" s="87">
        <v>95</v>
      </c>
      <c r="C12" s="31" t="s">
        <v>44</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42"/>
      <c r="J13" s="28"/>
      <c r="K13" s="28"/>
      <c r="L13" s="28"/>
      <c r="M13" s="28"/>
      <c r="N13" s="28"/>
      <c r="O13" s="28"/>
    </row>
    <row r="14" spans="1:15" x14ac:dyDescent="0.25">
      <c r="A14" s="28"/>
      <c r="B14" s="31">
        <v>100</v>
      </c>
      <c r="C14" s="87" t="s">
        <v>696</v>
      </c>
      <c r="D14" s="28"/>
      <c r="E14" s="28"/>
      <c r="F14" s="28"/>
      <c r="G14" s="28"/>
      <c r="H14" s="28"/>
      <c r="I14" s="242"/>
      <c r="J14" s="28"/>
      <c r="K14" s="28"/>
      <c r="L14" s="28"/>
      <c r="M14" s="28"/>
      <c r="N14" s="28"/>
      <c r="O14" s="28"/>
    </row>
    <row r="15" spans="1:15" x14ac:dyDescent="0.25">
      <c r="A15" s="28"/>
      <c r="B15" s="31">
        <v>0</v>
      </c>
      <c r="C15" s="87" t="s">
        <v>698</v>
      </c>
      <c r="D15" s="28"/>
      <c r="E15" s="28"/>
      <c r="F15" s="28"/>
      <c r="G15" s="28"/>
      <c r="H15" s="28"/>
      <c r="I15" s="242"/>
      <c r="J15" s="28"/>
      <c r="K15" s="28"/>
      <c r="L15" s="28"/>
      <c r="M15" s="28"/>
      <c r="N15" s="28"/>
      <c r="O15" s="28"/>
    </row>
    <row r="16" spans="1:15" x14ac:dyDescent="0.25">
      <c r="A16" s="28"/>
      <c r="B16" s="232">
        <f>(B12*B13/100*1000)/(B10+B12-B14+B15)*1000</f>
        <v>2857.1428571428573</v>
      </c>
      <c r="C16" s="28" t="s">
        <v>700</v>
      </c>
      <c r="D16" s="28"/>
      <c r="E16" s="28"/>
      <c r="F16" s="28"/>
      <c r="G16" s="28"/>
      <c r="H16" s="28"/>
      <c r="I16" s="242"/>
      <c r="J16" s="28"/>
      <c r="K16" s="28"/>
      <c r="L16" s="28"/>
      <c r="M16" s="28"/>
      <c r="N16" s="28"/>
      <c r="O16" s="28"/>
    </row>
    <row r="17" spans="1:19" ht="15.75" thickBot="1" x14ac:dyDescent="0.3">
      <c r="A17" s="28"/>
      <c r="B17" s="28"/>
      <c r="C17" s="28" t="s">
        <v>705</v>
      </c>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18</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4.8</v>
      </c>
      <c r="C19" s="23">
        <v>9.3000000000000007</v>
      </c>
      <c r="D19" s="23">
        <v>9.16</v>
      </c>
      <c r="E19" s="23">
        <v>0.49</v>
      </c>
      <c r="F19" s="23">
        <v>0.3</v>
      </c>
      <c r="G19" s="23">
        <v>18</v>
      </c>
      <c r="H19" s="23">
        <v>3000</v>
      </c>
      <c r="I19" s="33">
        <v>15000000</v>
      </c>
      <c r="J19" s="125">
        <f>LOG(I$19)-LOG(I19)</f>
        <v>0</v>
      </c>
      <c r="K19" s="33">
        <v>14000000</v>
      </c>
      <c r="L19" s="23" t="s">
        <v>26</v>
      </c>
      <c r="M19" s="34"/>
      <c r="N19" s="34"/>
      <c r="O19" s="35"/>
      <c r="P19" s="233">
        <f>B$16*A19</f>
        <v>0</v>
      </c>
      <c r="Q19" s="233">
        <f>6/LINEST(J19:J22,P19:P22,FALSE)</f>
        <v>28438.127787295831</v>
      </c>
      <c r="R19" s="233">
        <f>Q19/3000</f>
        <v>9.4793759290986106</v>
      </c>
      <c r="S19" s="233">
        <f>(J26/LINEST($J19:$J22,$P19:$P22,FALSE))/$B$16</f>
        <v>11.910835854912404</v>
      </c>
    </row>
    <row r="20" spans="1:19" ht="15.75" thickBot="1" x14ac:dyDescent="0.3">
      <c r="A20" s="32">
        <v>3</v>
      </c>
      <c r="B20" s="24">
        <v>5.6</v>
      </c>
      <c r="C20" s="24">
        <v>9.25</v>
      </c>
      <c r="D20" s="24">
        <v>10.07</v>
      </c>
      <c r="E20" s="24">
        <v>2500</v>
      </c>
      <c r="F20" s="24">
        <v>0.3</v>
      </c>
      <c r="G20" s="24">
        <v>14</v>
      </c>
      <c r="H20" s="24">
        <v>3380</v>
      </c>
      <c r="I20" s="33">
        <v>3400000</v>
      </c>
      <c r="J20" s="125">
        <f>LOG(I$19)-LOG(I20)</f>
        <v>0.64461234201342599</v>
      </c>
      <c r="K20" s="33">
        <v>3300000</v>
      </c>
      <c r="L20" s="24">
        <v>0.63</v>
      </c>
      <c r="M20" s="35"/>
      <c r="N20" s="35"/>
      <c r="O20" s="35"/>
      <c r="P20" s="233">
        <f>B$16*A20</f>
        <v>8571.4285714285725</v>
      </c>
    </row>
    <row r="21" spans="1:19" ht="15.75" thickBot="1" x14ac:dyDescent="0.3">
      <c r="A21" s="32">
        <v>5</v>
      </c>
      <c r="B21" s="24">
        <v>5.7</v>
      </c>
      <c r="C21" s="24">
        <v>9.25</v>
      </c>
      <c r="D21" s="24">
        <v>10.220000000000001</v>
      </c>
      <c r="E21" s="24">
        <v>2200</v>
      </c>
      <c r="F21" s="24">
        <v>0.33</v>
      </c>
      <c r="G21" s="24">
        <v>13</v>
      </c>
      <c r="H21" s="24">
        <v>3180</v>
      </c>
      <c r="I21" s="33">
        <v>23000</v>
      </c>
      <c r="J21" s="125">
        <f>LOG(I$19)-LOG(I21)</f>
        <v>2.8143634230380883</v>
      </c>
      <c r="K21" s="24">
        <v>0</v>
      </c>
      <c r="L21" s="24" t="s">
        <v>51</v>
      </c>
      <c r="M21" s="35"/>
      <c r="N21" s="35"/>
      <c r="O21" s="35"/>
      <c r="P21" s="233">
        <f>B$16*A21</f>
        <v>14285.714285714286</v>
      </c>
    </row>
    <row r="22" spans="1:19" ht="15.75" thickBot="1" x14ac:dyDescent="0.3">
      <c r="A22" s="32">
        <v>10</v>
      </c>
      <c r="B22" s="24">
        <v>5.7</v>
      </c>
      <c r="C22" s="24">
        <v>9.25</v>
      </c>
      <c r="D22" s="24">
        <v>10.220000000000001</v>
      </c>
      <c r="E22" s="24">
        <v>2100</v>
      </c>
      <c r="F22" s="24">
        <v>0.42</v>
      </c>
      <c r="G22" s="24">
        <v>14</v>
      </c>
      <c r="H22" s="24">
        <v>3130</v>
      </c>
      <c r="I22" s="63">
        <v>5</v>
      </c>
      <c r="J22" s="125">
        <f>LOG(I$19)-LOG(I22)</f>
        <v>6.4771212547196626</v>
      </c>
      <c r="K22" s="24">
        <v>0</v>
      </c>
      <c r="L22" s="24" t="s">
        <v>51</v>
      </c>
      <c r="M22" s="35"/>
      <c r="N22" s="35"/>
      <c r="O22" s="35"/>
      <c r="P22" s="233">
        <f>B$16*A22</f>
        <v>28571.428571428572</v>
      </c>
    </row>
    <row r="23" spans="1:19" ht="15.75" thickBot="1" x14ac:dyDescent="0.3">
      <c r="A23" s="32">
        <v>15</v>
      </c>
      <c r="B23" s="24">
        <v>5.7</v>
      </c>
      <c r="C23" s="24">
        <v>9.25</v>
      </c>
      <c r="D23" s="24">
        <v>10.24</v>
      </c>
      <c r="E23" s="24">
        <v>2200</v>
      </c>
      <c r="F23" s="24">
        <v>0.49</v>
      </c>
      <c r="G23" s="24">
        <v>13</v>
      </c>
      <c r="H23" s="24">
        <v>3140</v>
      </c>
      <c r="I23" s="33">
        <v>0</v>
      </c>
      <c r="J23" s="24" t="s">
        <v>184</v>
      </c>
      <c r="K23" s="24">
        <v>0</v>
      </c>
      <c r="L23" s="24" t="s">
        <v>51</v>
      </c>
      <c r="M23" s="35"/>
      <c r="N23" s="35"/>
      <c r="O23" s="35"/>
      <c r="P23" s="233"/>
    </row>
    <row r="24" spans="1:19" ht="15.75" thickBot="1" x14ac:dyDescent="0.3">
      <c r="A24" s="32">
        <v>30</v>
      </c>
      <c r="B24" s="24">
        <v>5.8</v>
      </c>
      <c r="C24" s="24">
        <v>9.4</v>
      </c>
      <c r="D24" s="24">
        <v>10.25</v>
      </c>
      <c r="E24" s="24">
        <v>2000</v>
      </c>
      <c r="F24" s="24">
        <v>0.27</v>
      </c>
      <c r="G24" s="24">
        <v>12</v>
      </c>
      <c r="H24" s="24">
        <v>3190</v>
      </c>
      <c r="I24" s="33">
        <v>0</v>
      </c>
      <c r="J24" s="24" t="s">
        <v>184</v>
      </c>
      <c r="K24" s="24">
        <v>0</v>
      </c>
      <c r="L24" s="24" t="s">
        <v>51</v>
      </c>
      <c r="M24" s="36">
        <v>8.6</v>
      </c>
      <c r="N24" s="36">
        <v>19920</v>
      </c>
      <c r="O24" s="36">
        <v>5490</v>
      </c>
      <c r="P24" s="233"/>
    </row>
    <row r="25" spans="1:19" ht="15.75" thickBot="1" x14ac:dyDescent="0.3">
      <c r="A25" s="32" t="s">
        <v>52</v>
      </c>
      <c r="B25" s="24">
        <v>5.8</v>
      </c>
      <c r="C25" s="24">
        <v>9.44</v>
      </c>
      <c r="D25" s="24">
        <v>10.25</v>
      </c>
      <c r="E25" s="24">
        <v>2100</v>
      </c>
      <c r="F25" s="58">
        <v>0.59</v>
      </c>
      <c r="G25" s="24">
        <v>11</v>
      </c>
      <c r="H25" s="24">
        <v>3110</v>
      </c>
      <c r="I25" s="33">
        <v>0</v>
      </c>
      <c r="J25" s="24" t="s">
        <v>184</v>
      </c>
      <c r="K25" s="24">
        <v>0</v>
      </c>
      <c r="L25" s="24" t="s">
        <v>51</v>
      </c>
      <c r="M25" s="36">
        <v>7.1</v>
      </c>
      <c r="N25" s="36">
        <v>20126</v>
      </c>
      <c r="O25" s="27"/>
      <c r="P25" s="233"/>
    </row>
    <row r="26" spans="1:19" x14ac:dyDescent="0.25">
      <c r="A26" s="28"/>
      <c r="B26" s="28">
        <f>AVERAGE(B20:B22)</f>
        <v>5.666666666666667</v>
      </c>
      <c r="C26" s="28">
        <f>AVERAGE(C20:C22)</f>
        <v>9.25</v>
      </c>
      <c r="D26" s="28"/>
      <c r="E26" s="28"/>
      <c r="F26" s="28"/>
      <c r="G26" s="28"/>
      <c r="H26" s="28"/>
      <c r="I26" s="29"/>
      <c r="J26" s="28">
        <v>7.18</v>
      </c>
      <c r="K26" s="28"/>
      <c r="L26" s="28"/>
      <c r="M26" s="28"/>
      <c r="N26" s="28"/>
      <c r="O26" s="28"/>
    </row>
    <row r="27" spans="1:19" x14ac:dyDescent="0.25">
      <c r="A27" s="28" t="s">
        <v>140</v>
      </c>
      <c r="B27" s="8"/>
      <c r="C27" s="8"/>
      <c r="D27" s="8"/>
      <c r="E27" s="8"/>
      <c r="F27" s="8"/>
      <c r="G27" s="8"/>
      <c r="H27" s="8"/>
      <c r="I27" s="25"/>
      <c r="J27" s="8"/>
      <c r="K27" s="8"/>
      <c r="L27" s="8"/>
      <c r="M27" s="8"/>
      <c r="N27" s="28"/>
      <c r="O27" s="8"/>
    </row>
    <row r="28" spans="1:19" x14ac:dyDescent="0.25">
      <c r="A28" s="28"/>
      <c r="B28" s="28" t="s">
        <v>141</v>
      </c>
      <c r="C28" s="8"/>
      <c r="D28" s="8"/>
      <c r="E28" s="8"/>
      <c r="F28" s="8"/>
      <c r="G28" s="8"/>
      <c r="H28" s="8"/>
      <c r="I28" s="25"/>
      <c r="J28" s="8"/>
      <c r="K28" s="8"/>
      <c r="L28" s="8"/>
      <c r="M28" s="8"/>
      <c r="N28" s="28"/>
      <c r="O28" s="8"/>
    </row>
    <row r="29" spans="1:19" x14ac:dyDescent="0.25">
      <c r="A29" s="28" t="s">
        <v>53</v>
      </c>
      <c r="B29" s="28"/>
      <c r="C29" s="28"/>
      <c r="D29" s="28"/>
      <c r="E29" s="28"/>
      <c r="F29" s="28"/>
      <c r="G29" s="28"/>
      <c r="H29" s="28"/>
      <c r="I29" s="29"/>
      <c r="J29" s="28"/>
      <c r="K29" s="28"/>
      <c r="L29" s="28" t="s">
        <v>34</v>
      </c>
      <c r="M29" s="28"/>
      <c r="N29" s="28" t="s">
        <v>34</v>
      </c>
      <c r="O29" s="28"/>
    </row>
    <row r="30" spans="1:19" x14ac:dyDescent="0.25">
      <c r="A30" s="59"/>
      <c r="F30" s="28"/>
      <c r="G30" s="28"/>
      <c r="H30" s="28"/>
      <c r="I30" s="29"/>
      <c r="J30" s="28"/>
      <c r="K30" s="28"/>
      <c r="L30" s="28" t="s">
        <v>34</v>
      </c>
      <c r="M30" s="28" t="s">
        <v>34</v>
      </c>
      <c r="N30" s="28"/>
      <c r="O30" s="28"/>
    </row>
    <row r="31" spans="1:19" x14ac:dyDescent="0.25">
      <c r="A31" s="19" t="s">
        <v>28</v>
      </c>
      <c r="B31" s="28"/>
      <c r="C31" s="28"/>
      <c r="D31" s="28"/>
      <c r="E31" s="28"/>
      <c r="F31" s="28"/>
      <c r="G31" s="28"/>
      <c r="H31" s="28"/>
      <c r="I31" s="29"/>
      <c r="J31" s="28"/>
      <c r="K31" s="28"/>
      <c r="L31" s="28"/>
      <c r="M31" s="28"/>
      <c r="N31" s="28"/>
      <c r="O31" s="28"/>
    </row>
    <row r="32" spans="1:19" x14ac:dyDescent="0.25">
      <c r="A32" s="28"/>
      <c r="B32" s="22"/>
      <c r="C32" s="28"/>
      <c r="D32" s="28"/>
      <c r="E32" s="28"/>
      <c r="F32" s="28"/>
      <c r="G32" s="28"/>
      <c r="H32" s="28"/>
      <c r="I32" s="29"/>
      <c r="J32" s="28"/>
      <c r="K32" s="28"/>
      <c r="L32" s="28"/>
      <c r="M32" s="28"/>
      <c r="N32" s="28"/>
      <c r="O32" s="28"/>
    </row>
    <row r="33" spans="1:15" x14ac:dyDescent="0.25">
      <c r="A33" s="28"/>
      <c r="B33" s="41" t="s">
        <v>185</v>
      </c>
      <c r="C33" s="41"/>
      <c r="D33" s="41"/>
      <c r="E33" s="41"/>
      <c r="F33" s="41"/>
      <c r="G33" s="41"/>
      <c r="H33" s="41"/>
      <c r="I33" s="41"/>
      <c r="J33" s="41"/>
      <c r="K33" s="41"/>
      <c r="L33" s="41"/>
      <c r="M33" s="28"/>
      <c r="N33" s="28"/>
      <c r="O33" s="28"/>
    </row>
    <row r="34" spans="1:15" x14ac:dyDescent="0.25">
      <c r="A34" s="28"/>
      <c r="B34" s="41" t="s">
        <v>172</v>
      </c>
      <c r="C34" s="41"/>
      <c r="D34" s="41"/>
      <c r="E34" s="41"/>
      <c r="F34" s="41"/>
      <c r="G34" s="41"/>
      <c r="H34" s="41"/>
      <c r="I34" s="41"/>
      <c r="J34" s="41"/>
      <c r="K34" s="41"/>
      <c r="L34" s="41"/>
      <c r="M34" s="28"/>
      <c r="N34" s="28"/>
      <c r="O34" s="28"/>
    </row>
    <row r="35" spans="1:15" x14ac:dyDescent="0.25">
      <c r="A35" s="28"/>
      <c r="B35" s="22" t="s">
        <v>146</v>
      </c>
      <c r="C35" s="8"/>
      <c r="D35" s="8"/>
      <c r="E35" s="8"/>
      <c r="F35" s="8"/>
      <c r="G35" s="8"/>
      <c r="H35" s="8"/>
      <c r="I35" s="25"/>
      <c r="J35" s="8"/>
      <c r="K35" s="8"/>
      <c r="L35" s="28"/>
      <c r="M35" s="28"/>
      <c r="N35" s="28"/>
      <c r="O35" s="28"/>
    </row>
    <row r="36" spans="1:15" x14ac:dyDescent="0.25">
      <c r="A36" s="28"/>
      <c r="B36" s="22" t="s">
        <v>156</v>
      </c>
      <c r="C36" s="8"/>
      <c r="D36" s="8"/>
      <c r="E36" s="8"/>
      <c r="F36" s="8"/>
      <c r="G36" s="8"/>
      <c r="H36" s="8"/>
      <c r="I36" s="25"/>
      <c r="J36" s="8"/>
      <c r="K36" s="8"/>
      <c r="L36" s="28"/>
      <c r="M36" s="28"/>
      <c r="N36" s="28"/>
      <c r="O36" s="28"/>
    </row>
    <row r="37" spans="1:15" x14ac:dyDescent="0.25">
      <c r="A37" s="28"/>
      <c r="B37" s="20" t="s">
        <v>36</v>
      </c>
      <c r="C37" s="8"/>
      <c r="D37" s="8"/>
      <c r="E37" s="8"/>
      <c r="F37" s="8"/>
      <c r="G37" s="8"/>
      <c r="H37" s="8"/>
      <c r="I37" s="25"/>
      <c r="J37" s="8"/>
      <c r="K37" s="8"/>
      <c r="L37" s="28"/>
      <c r="M37" s="28"/>
      <c r="N37" s="28"/>
      <c r="O37" s="28"/>
    </row>
    <row r="38" spans="1:15" x14ac:dyDescent="0.25">
      <c r="A38" s="28"/>
      <c r="B38" s="22" t="s">
        <v>133</v>
      </c>
      <c r="L38" s="28"/>
      <c r="M38" s="28"/>
      <c r="N38" s="28"/>
      <c r="O38" s="28"/>
    </row>
    <row r="39" spans="1:15" x14ac:dyDescent="0.25">
      <c r="A39" s="28"/>
      <c r="B39" s="22" t="s">
        <v>186</v>
      </c>
      <c r="L39" s="28"/>
      <c r="N39" s="28"/>
      <c r="O39" s="28"/>
    </row>
    <row r="40" spans="1:15" x14ac:dyDescent="0.25">
      <c r="A40" s="28"/>
      <c r="N40" s="28"/>
      <c r="O40" s="28"/>
    </row>
    <row r="41" spans="1:15" x14ac:dyDescent="0.25">
      <c r="A41" s="28"/>
      <c r="B41" s="22" t="s">
        <v>182</v>
      </c>
      <c r="C41" s="21"/>
      <c r="D41" s="21"/>
      <c r="E41" s="8"/>
      <c r="F41" s="8"/>
      <c r="G41" s="8"/>
      <c r="H41" s="8"/>
      <c r="I41" s="25"/>
      <c r="J41" s="8"/>
      <c r="K41" s="8"/>
      <c r="M41" s="28"/>
      <c r="N41" s="28"/>
      <c r="O41" s="28"/>
    </row>
    <row r="42" spans="1:15" x14ac:dyDescent="0.25">
      <c r="A42" s="28"/>
      <c r="B42" s="41" t="s">
        <v>187</v>
      </c>
      <c r="M42" s="28"/>
      <c r="N42" s="28"/>
      <c r="O42" s="28" t="s">
        <v>34</v>
      </c>
    </row>
    <row r="43" spans="1:15" x14ac:dyDescent="0.25">
      <c r="B43" s="41" t="s">
        <v>188</v>
      </c>
      <c r="C43" s="64"/>
      <c r="D43" s="64"/>
      <c r="E43" s="64"/>
      <c r="F43" s="64"/>
      <c r="G43" s="64"/>
      <c r="H43" s="64"/>
      <c r="I43" s="64"/>
      <c r="J43" s="64"/>
      <c r="K43" s="64"/>
      <c r="L43" s="65"/>
      <c r="M43" s="28"/>
      <c r="N43" s="28"/>
      <c r="O43" s="28"/>
    </row>
    <row r="44" spans="1:15" x14ac:dyDescent="0.25">
      <c r="B44" s="22" t="s">
        <v>177</v>
      </c>
      <c r="C44" s="8"/>
      <c r="D44" s="8"/>
      <c r="E44" s="8"/>
      <c r="F44" s="8"/>
      <c r="G44" s="8"/>
      <c r="H44" s="8"/>
      <c r="I44" s="25"/>
      <c r="J44" s="8"/>
      <c r="K44" s="8"/>
      <c r="L44" s="28"/>
      <c r="M44" s="28"/>
      <c r="N44" s="28"/>
      <c r="O44" s="28"/>
    </row>
    <row r="46" spans="1:15" x14ac:dyDescent="0.25">
      <c r="B46" s="41" t="s">
        <v>154</v>
      </c>
      <c r="C46" s="41"/>
      <c r="D46" s="41"/>
      <c r="E46" s="41"/>
      <c r="F46" s="41"/>
      <c r="G46" s="41"/>
      <c r="H46" s="41"/>
      <c r="I46" s="41"/>
      <c r="J46" s="41"/>
      <c r="K46" s="41"/>
    </row>
    <row r="47" spans="1:15" x14ac:dyDescent="0.25">
      <c r="B47" s="41" t="s">
        <v>155</v>
      </c>
      <c r="C47" s="41"/>
      <c r="D47" s="41"/>
      <c r="E47" s="41"/>
      <c r="F47" s="41"/>
      <c r="G47" s="41"/>
      <c r="H47" s="41"/>
      <c r="I47" s="41"/>
      <c r="J47" s="41"/>
      <c r="K47" s="41"/>
    </row>
    <row r="48" spans="1:15" x14ac:dyDescent="0.25">
      <c r="B48" s="22" t="s">
        <v>157</v>
      </c>
      <c r="C48" s="28"/>
      <c r="D48" s="28"/>
      <c r="E48" s="28"/>
      <c r="F48" s="28"/>
      <c r="G48" s="28"/>
      <c r="H48" s="29"/>
      <c r="I48" s="28"/>
      <c r="J48" s="41"/>
      <c r="K48" s="28"/>
    </row>
  </sheetData>
  <pageMargins left="0.7" right="0.7" top="0.75" bottom="0.75" header="0.3" footer="0.3"/>
  <pageSetup scale="66" orientation="landscape" verticalDpi="597" r:id="rId1"/>
  <ignoredErrors>
    <ignoredError sqref="C26" formulaRang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election sqref="A1:E1"/>
    </sheetView>
  </sheetViews>
  <sheetFormatPr defaultRowHeight="15" x14ac:dyDescent="0.25"/>
  <cols>
    <col min="4" max="4" width="11.5703125" customWidth="1"/>
    <col min="6" max="6" width="11.140625" customWidth="1"/>
    <col min="7" max="7" width="78.42578125" customWidth="1"/>
    <col min="11" max="11" width="22.85546875" bestFit="1" customWidth="1"/>
    <col min="12" max="12" width="10.140625" bestFit="1" customWidth="1"/>
  </cols>
  <sheetData>
    <row r="1" spans="1:20" ht="15.75" thickBot="1" x14ac:dyDescent="0.3">
      <c r="A1" s="423" t="s">
        <v>851</v>
      </c>
      <c r="B1" s="423"/>
      <c r="C1" s="423"/>
      <c r="D1" s="423"/>
      <c r="E1" s="423"/>
    </row>
    <row r="2" spans="1:20" x14ac:dyDescent="0.25">
      <c r="A2" s="396" t="s">
        <v>852</v>
      </c>
      <c r="B2" s="398" t="s">
        <v>854</v>
      </c>
      <c r="C2" s="398" t="s">
        <v>856</v>
      </c>
      <c r="D2" s="398" t="s">
        <v>858</v>
      </c>
      <c r="E2" s="400" t="s">
        <v>860</v>
      </c>
      <c r="F2" s="400" t="s">
        <v>861</v>
      </c>
      <c r="G2" s="400" t="s">
        <v>869</v>
      </c>
    </row>
    <row r="3" spans="1:20" ht="21.75" customHeight="1" thickBot="1" x14ac:dyDescent="0.3">
      <c r="A3" s="397" t="s">
        <v>853</v>
      </c>
      <c r="B3" s="399" t="s">
        <v>855</v>
      </c>
      <c r="C3" s="399" t="s">
        <v>857</v>
      </c>
      <c r="D3" s="399" t="s">
        <v>859</v>
      </c>
      <c r="E3" s="401"/>
      <c r="F3" s="401"/>
      <c r="G3" s="401"/>
      <c r="K3" s="52"/>
      <c r="L3" s="95"/>
      <c r="M3" s="57"/>
      <c r="N3" s="52"/>
      <c r="O3" s="52"/>
      <c r="P3" s="52"/>
      <c r="Q3" s="52"/>
      <c r="R3" s="52"/>
      <c r="S3" s="52"/>
      <c r="T3" s="68"/>
    </row>
    <row r="4" spans="1:20" ht="15.75" thickBot="1" x14ac:dyDescent="0.3">
      <c r="A4" s="397" t="s">
        <v>820</v>
      </c>
      <c r="B4" s="399">
        <v>3000</v>
      </c>
      <c r="C4" s="399">
        <v>600</v>
      </c>
      <c r="D4" s="399">
        <v>4473</v>
      </c>
      <c r="E4" s="399">
        <v>540</v>
      </c>
      <c r="F4" s="399" t="s">
        <v>509</v>
      </c>
      <c r="G4" s="414" t="s">
        <v>386</v>
      </c>
      <c r="K4" s="52"/>
      <c r="L4" s="95"/>
      <c r="M4" s="57"/>
      <c r="N4" s="52"/>
      <c r="O4" s="52"/>
      <c r="P4" s="66"/>
      <c r="Q4" s="52"/>
      <c r="R4" s="52"/>
      <c r="S4" s="66"/>
      <c r="T4" s="68"/>
    </row>
    <row r="5" spans="1:20" ht="15.75" thickBot="1" x14ac:dyDescent="0.3">
      <c r="A5" s="397" t="s">
        <v>821</v>
      </c>
      <c r="B5" s="399">
        <v>4260</v>
      </c>
      <c r="C5" s="399">
        <v>650</v>
      </c>
      <c r="D5" s="399">
        <v>4590</v>
      </c>
      <c r="E5" s="399">
        <v>567</v>
      </c>
      <c r="F5" s="399">
        <v>8758</v>
      </c>
      <c r="G5" s="414" t="s">
        <v>138</v>
      </c>
      <c r="K5" s="84"/>
      <c r="L5" s="95"/>
      <c r="M5" s="52"/>
      <c r="N5" s="52"/>
      <c r="O5" s="52"/>
      <c r="P5" s="52"/>
      <c r="Q5" s="52"/>
      <c r="R5" s="52"/>
      <c r="S5" s="52"/>
      <c r="T5" s="52"/>
    </row>
    <row r="6" spans="1:20" ht="15.75" thickBot="1" x14ac:dyDescent="0.3">
      <c r="A6" s="397" t="s">
        <v>862</v>
      </c>
      <c r="B6" s="399">
        <v>3525</v>
      </c>
      <c r="C6" s="399">
        <v>60</v>
      </c>
      <c r="D6" s="399">
        <v>4030</v>
      </c>
      <c r="E6" s="399">
        <v>96</v>
      </c>
      <c r="F6" s="399">
        <v>4186</v>
      </c>
      <c r="G6" s="414" t="s">
        <v>510</v>
      </c>
      <c r="K6" s="84"/>
      <c r="L6" s="95"/>
      <c r="M6" s="52"/>
      <c r="N6" s="52"/>
      <c r="O6" s="52"/>
      <c r="P6" s="52"/>
      <c r="Q6" s="52"/>
      <c r="R6" s="66"/>
      <c r="S6" s="52"/>
      <c r="T6" s="52"/>
    </row>
    <row r="7" spans="1:20" ht="15.75" thickBot="1" x14ac:dyDescent="0.3">
      <c r="A7" s="397" t="s">
        <v>863</v>
      </c>
      <c r="B7" s="399">
        <v>3070</v>
      </c>
      <c r="C7" s="399">
        <v>13</v>
      </c>
      <c r="D7" s="399">
        <v>4195</v>
      </c>
      <c r="E7" s="399">
        <v>72</v>
      </c>
      <c r="F7" s="399">
        <v>8410</v>
      </c>
      <c r="G7" s="414" t="s">
        <v>139</v>
      </c>
      <c r="K7" s="84"/>
      <c r="L7" s="95"/>
      <c r="M7" s="52"/>
      <c r="N7" s="52"/>
      <c r="O7" s="52"/>
      <c r="P7" s="52"/>
      <c r="Q7" s="52"/>
      <c r="R7" s="52"/>
      <c r="S7" s="52"/>
      <c r="T7" s="66"/>
    </row>
    <row r="8" spans="1:20" ht="15.75" thickBot="1" x14ac:dyDescent="0.3">
      <c r="A8" s="397" t="s">
        <v>864</v>
      </c>
      <c r="B8" s="399">
        <v>6480</v>
      </c>
      <c r="C8" s="399">
        <v>980</v>
      </c>
      <c r="D8" s="399">
        <v>212</v>
      </c>
      <c r="E8" s="399">
        <v>340</v>
      </c>
      <c r="F8" s="399">
        <v>361</v>
      </c>
      <c r="G8" s="414" t="s">
        <v>238</v>
      </c>
      <c r="K8" s="84"/>
      <c r="L8" s="95"/>
      <c r="M8" s="52"/>
      <c r="N8" s="52"/>
      <c r="O8" s="52"/>
      <c r="P8" s="52"/>
      <c r="Q8" s="52"/>
      <c r="R8" s="52"/>
      <c r="S8" s="52"/>
      <c r="T8" s="66"/>
    </row>
    <row r="9" spans="1:20" ht="15.75" thickBot="1" x14ac:dyDescent="0.3">
      <c r="A9" s="397" t="s">
        <v>865</v>
      </c>
      <c r="B9" s="399">
        <v>90</v>
      </c>
      <c r="C9" s="399">
        <v>152</v>
      </c>
      <c r="D9" s="399">
        <v>80</v>
      </c>
      <c r="E9" s="399">
        <v>285</v>
      </c>
      <c r="F9" s="399">
        <v>6185</v>
      </c>
      <c r="G9" s="414" t="s">
        <v>541</v>
      </c>
      <c r="K9" s="67"/>
      <c r="L9" s="96"/>
      <c r="M9" s="74"/>
      <c r="N9" s="74"/>
      <c r="O9" s="74"/>
      <c r="P9" s="74"/>
      <c r="Q9" s="74"/>
      <c r="R9" s="74"/>
      <c r="S9" s="74"/>
      <c r="T9" s="97"/>
    </row>
    <row r="10" spans="1:20" ht="15.75" thickBot="1" x14ac:dyDescent="0.3">
      <c r="A10" s="397" t="s">
        <v>866</v>
      </c>
      <c r="B10" s="399">
        <v>191</v>
      </c>
      <c r="C10" s="399">
        <v>283</v>
      </c>
      <c r="D10" s="399" t="s">
        <v>509</v>
      </c>
      <c r="E10" s="399">
        <v>249</v>
      </c>
      <c r="F10" s="399">
        <v>65</v>
      </c>
      <c r="G10" s="414" t="s">
        <v>190</v>
      </c>
    </row>
    <row r="11" spans="1:20" ht="15.75" thickBot="1" x14ac:dyDescent="0.3">
      <c r="A11" s="397" t="s">
        <v>867</v>
      </c>
      <c r="B11" s="399">
        <v>3397</v>
      </c>
      <c r="C11" s="399">
        <v>364</v>
      </c>
      <c r="D11" s="399" t="s">
        <v>509</v>
      </c>
      <c r="E11" s="399" t="s">
        <v>509</v>
      </c>
      <c r="F11" s="399" t="s">
        <v>509</v>
      </c>
      <c r="G11" s="399"/>
    </row>
    <row r="12" spans="1:20" ht="35.25" customHeight="1" thickBot="1" x14ac:dyDescent="0.3">
      <c r="A12" s="422" t="s">
        <v>868</v>
      </c>
      <c r="B12" s="422"/>
      <c r="C12" s="422"/>
      <c r="D12" s="422"/>
      <c r="E12" s="422"/>
      <c r="F12" s="402"/>
    </row>
    <row r="14" spans="1:20" x14ac:dyDescent="0.25">
      <c r="A14" s="403" t="s">
        <v>870</v>
      </c>
    </row>
    <row r="15" spans="1:20" x14ac:dyDescent="0.25">
      <c r="A15" t="s">
        <v>898</v>
      </c>
    </row>
    <row r="16" spans="1:20" x14ac:dyDescent="0.25">
      <c r="A16" t="s">
        <v>899</v>
      </c>
    </row>
    <row r="17" spans="1:1" x14ac:dyDescent="0.25">
      <c r="A17" t="s">
        <v>871</v>
      </c>
    </row>
    <row r="18" spans="1:1" x14ac:dyDescent="0.25">
      <c r="A18" t="s">
        <v>872</v>
      </c>
    </row>
  </sheetData>
  <mergeCells count="2">
    <mergeCell ref="A12:E12"/>
    <mergeCell ref="A1:E1"/>
  </mergeCells>
  <pageMargins left="0.7" right="0.7" top="0.75" bottom="0.75" header="0.3" footer="0.3"/>
  <pageSetup orientation="portrait" verticalDpi="597"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9" tint="-0.499984740745262"/>
    <pageSetUpPr fitToPage="1"/>
  </sheetPr>
  <dimension ref="A6:S49"/>
  <sheetViews>
    <sheetView zoomScale="90" zoomScaleNormal="90" workbookViewId="0"/>
  </sheetViews>
  <sheetFormatPr defaultRowHeight="15" x14ac:dyDescent="0.25"/>
  <cols>
    <col min="1" max="1" width="7.42578125" customWidth="1"/>
    <col min="2" max="2" width="10.42578125" customWidth="1"/>
    <col min="3" max="3" width="6.28515625" customWidth="1"/>
    <col min="4" max="4" width="9.140625" customWidth="1"/>
    <col min="5" max="5" width="8.140625" customWidth="1"/>
    <col min="8" max="8" width="7.5703125" customWidth="1"/>
    <col min="9" max="9" width="9.140625" customWidth="1"/>
    <col min="10" max="10" width="7.7109375" customWidth="1"/>
    <col min="12" max="12" width="6.5703125" customWidth="1"/>
    <col min="13" max="14" width="6.85546875" customWidth="1"/>
    <col min="15" max="15" width="9.140625"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40959</v>
      </c>
      <c r="C7" s="28"/>
      <c r="D7" s="28"/>
      <c r="E7" s="28"/>
      <c r="F7" s="28"/>
      <c r="G7" s="28"/>
      <c r="H7" s="28"/>
      <c r="I7" s="29"/>
      <c r="J7" s="28"/>
      <c r="K7" s="28"/>
      <c r="L7" s="28"/>
      <c r="M7" s="28"/>
      <c r="N7" s="28"/>
      <c r="O7" s="28"/>
    </row>
    <row r="8" spans="1:15" x14ac:dyDescent="0.25">
      <c r="A8" s="28" t="s">
        <v>14</v>
      </c>
      <c r="B8" s="28">
        <v>13</v>
      </c>
      <c r="C8" s="28" t="s">
        <v>483</v>
      </c>
      <c r="D8" s="28"/>
      <c r="E8" s="28"/>
      <c r="F8" s="28"/>
      <c r="G8" s="28"/>
      <c r="H8" s="28"/>
      <c r="I8" s="29"/>
      <c r="J8" s="28"/>
      <c r="K8" s="28" t="s">
        <v>34</v>
      </c>
      <c r="L8" s="28" t="s">
        <v>34</v>
      </c>
      <c r="M8" s="28"/>
      <c r="N8" s="28"/>
      <c r="O8" s="28"/>
    </row>
    <row r="9" spans="1:15" x14ac:dyDescent="0.25">
      <c r="A9" s="8" t="s">
        <v>15</v>
      </c>
      <c r="B9" s="8">
        <v>11</v>
      </c>
      <c r="C9" s="28" t="s">
        <v>192</v>
      </c>
      <c r="D9" s="8"/>
      <c r="E9" s="8"/>
      <c r="F9" s="8"/>
      <c r="G9" s="8"/>
      <c r="H9" s="8"/>
      <c r="I9" s="25"/>
      <c r="J9" s="8"/>
      <c r="K9" s="8"/>
      <c r="L9" s="8"/>
      <c r="M9" s="8"/>
      <c r="N9" s="8"/>
      <c r="O9" s="8"/>
    </row>
    <row r="10" spans="1:15" x14ac:dyDescent="0.25">
      <c r="A10" s="28" t="s">
        <v>16</v>
      </c>
      <c r="B10" s="87">
        <v>2000</v>
      </c>
      <c r="C10" s="31" t="s">
        <v>143</v>
      </c>
      <c r="D10" s="28"/>
      <c r="E10" s="28"/>
      <c r="F10" s="28"/>
      <c r="G10" s="28"/>
      <c r="H10" s="28"/>
      <c r="I10" s="29" t="s">
        <v>34</v>
      </c>
      <c r="J10" s="28" t="s">
        <v>34</v>
      </c>
      <c r="K10" s="28" t="s">
        <v>34</v>
      </c>
      <c r="L10" s="28" t="s">
        <v>34</v>
      </c>
      <c r="M10" s="28" t="s">
        <v>34</v>
      </c>
      <c r="N10" s="28" t="s">
        <v>34</v>
      </c>
      <c r="O10" s="28"/>
    </row>
    <row r="11" spans="1:15" x14ac:dyDescent="0.25">
      <c r="A11" s="28"/>
      <c r="B11" s="243">
        <v>200000000</v>
      </c>
      <c r="C11" s="31" t="s">
        <v>58</v>
      </c>
      <c r="D11" s="28"/>
      <c r="E11" s="28"/>
      <c r="F11" s="28"/>
      <c r="G11" s="28"/>
      <c r="H11" s="28"/>
      <c r="I11" s="29"/>
      <c r="J11" s="28"/>
      <c r="K11" s="28" t="s">
        <v>34</v>
      </c>
      <c r="L11" s="28"/>
      <c r="M11" s="28"/>
      <c r="N11" s="28"/>
      <c r="O11" s="28"/>
    </row>
    <row r="12" spans="1:15" x14ac:dyDescent="0.25">
      <c r="A12" s="28"/>
      <c r="B12" s="87">
        <v>95</v>
      </c>
      <c r="C12" s="31" t="s">
        <v>701</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42"/>
      <c r="J13" s="28"/>
      <c r="K13" s="28"/>
      <c r="L13" s="28"/>
      <c r="M13" s="28"/>
      <c r="N13" s="28"/>
      <c r="O13" s="28"/>
    </row>
    <row r="14" spans="1:15" x14ac:dyDescent="0.25">
      <c r="A14" s="28"/>
      <c r="B14" s="31">
        <v>100</v>
      </c>
      <c r="C14" s="87" t="s">
        <v>696</v>
      </c>
      <c r="D14" s="28"/>
      <c r="E14" s="28"/>
      <c r="F14" s="28"/>
      <c r="G14" s="28"/>
      <c r="H14" s="28"/>
      <c r="I14" s="242"/>
      <c r="J14" s="28"/>
      <c r="K14" s="28"/>
      <c r="L14" s="28"/>
      <c r="M14" s="28"/>
      <c r="N14" s="28"/>
      <c r="O14" s="28"/>
    </row>
    <row r="15" spans="1:15" x14ac:dyDescent="0.25">
      <c r="A15" s="28"/>
      <c r="B15" s="31">
        <v>0</v>
      </c>
      <c r="C15" s="87" t="s">
        <v>698</v>
      </c>
      <c r="D15" s="28"/>
      <c r="E15" s="28"/>
      <c r="F15" s="28"/>
      <c r="G15" s="28"/>
      <c r="H15" s="28"/>
      <c r="I15" s="242"/>
      <c r="J15" s="28"/>
      <c r="K15" s="28"/>
      <c r="L15" s="28"/>
      <c r="M15" s="28"/>
      <c r="N15" s="28"/>
      <c r="O15" s="28"/>
    </row>
    <row r="16" spans="1:15" x14ac:dyDescent="0.25">
      <c r="A16" s="28"/>
      <c r="B16" s="232">
        <f>(B12*B13/100*1000)/(B10+B12-B14+B15)*1000</f>
        <v>2857.1428571428573</v>
      </c>
      <c r="C16" s="28" t="s">
        <v>700</v>
      </c>
      <c r="D16" s="28"/>
      <c r="E16" s="28"/>
      <c r="F16" s="28"/>
      <c r="G16" s="28"/>
      <c r="H16" s="28"/>
      <c r="I16" s="242"/>
      <c r="J16" s="28"/>
      <c r="K16" s="28"/>
      <c r="L16" s="28"/>
      <c r="M16" s="28"/>
      <c r="N16" s="28"/>
      <c r="O16" s="28"/>
    </row>
    <row r="17" spans="1:19" ht="15.75" thickBot="1" x14ac:dyDescent="0.3">
      <c r="A17" s="28"/>
      <c r="B17" s="28"/>
      <c r="C17" s="28" t="s">
        <v>705</v>
      </c>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4.5</v>
      </c>
      <c r="C19" s="23">
        <v>7.57</v>
      </c>
      <c r="D19" s="23">
        <v>8.6199999999999992</v>
      </c>
      <c r="E19" s="23">
        <v>0.36</v>
      </c>
      <c r="F19" s="23">
        <v>0.2</v>
      </c>
      <c r="G19" s="23">
        <v>290</v>
      </c>
      <c r="H19" s="23">
        <v>206</v>
      </c>
      <c r="I19" s="33">
        <v>23000000</v>
      </c>
      <c r="J19" s="125">
        <f t="shared" ref="J19:J25" si="0">LOG(I$19)-LOG(I19)</f>
        <v>0</v>
      </c>
      <c r="K19" s="33">
        <v>24000000</v>
      </c>
      <c r="L19" s="23" t="s">
        <v>26</v>
      </c>
      <c r="M19" s="34"/>
      <c r="N19" s="34"/>
      <c r="O19" s="35"/>
      <c r="P19" s="233">
        <f t="shared" ref="P19:P24" si="1">B$16*A19</f>
        <v>0</v>
      </c>
      <c r="Q19" s="233">
        <f>6/LINEST(J19:J24,P19:P24,FALSE)</f>
        <v>485435.65469797654</v>
      </c>
      <c r="R19" s="233">
        <f>Q19/3000</f>
        <v>161.81188489932552</v>
      </c>
      <c r="S19" s="233">
        <f>(J26/LINEST($J19:$J24,$P19:$P24,FALSE))/$B$16</f>
        <v>31.148787843120164</v>
      </c>
    </row>
    <row r="20" spans="1:19" ht="15.75" thickBot="1" x14ac:dyDescent="0.3">
      <c r="A20" s="32">
        <v>3</v>
      </c>
      <c r="B20" s="24">
        <v>4.8</v>
      </c>
      <c r="C20" s="24">
        <v>11.04</v>
      </c>
      <c r="D20" s="24">
        <v>11.75</v>
      </c>
      <c r="E20" s="24">
        <v>2000</v>
      </c>
      <c r="F20" s="24">
        <v>0.23</v>
      </c>
      <c r="G20" s="24">
        <v>270</v>
      </c>
      <c r="H20" s="24">
        <v>353</v>
      </c>
      <c r="I20" s="33">
        <v>15000000</v>
      </c>
      <c r="J20" s="125">
        <f t="shared" si="0"/>
        <v>0.18563657696191171</v>
      </c>
      <c r="K20" s="33">
        <v>15000000</v>
      </c>
      <c r="L20" s="24">
        <v>0.2</v>
      </c>
      <c r="M20" s="35"/>
      <c r="N20" s="35"/>
      <c r="O20" s="35"/>
      <c r="P20" s="233">
        <f t="shared" si="1"/>
        <v>8571.4285714285725</v>
      </c>
    </row>
    <row r="21" spans="1:19" ht="15.75" thickBot="1" x14ac:dyDescent="0.3">
      <c r="A21" s="32">
        <v>5</v>
      </c>
      <c r="B21" s="24">
        <v>4.8</v>
      </c>
      <c r="C21" s="24">
        <v>11.04</v>
      </c>
      <c r="D21" s="24">
        <v>11.85</v>
      </c>
      <c r="E21" s="24">
        <v>2300</v>
      </c>
      <c r="F21" s="24">
        <v>0.28999999999999998</v>
      </c>
      <c r="G21" s="24">
        <v>270</v>
      </c>
      <c r="H21" s="24">
        <v>324</v>
      </c>
      <c r="I21" s="33">
        <v>17000000</v>
      </c>
      <c r="J21" s="125">
        <f t="shared" si="0"/>
        <v>0.13127891463931896</v>
      </c>
      <c r="K21" s="33">
        <v>17000000</v>
      </c>
      <c r="L21" s="24">
        <v>0.16</v>
      </c>
      <c r="M21" s="35"/>
      <c r="N21" s="35"/>
      <c r="O21" s="35"/>
      <c r="P21" s="233">
        <f t="shared" si="1"/>
        <v>14285.714285714286</v>
      </c>
    </row>
    <row r="22" spans="1:19" ht="15.75" thickBot="1" x14ac:dyDescent="0.3">
      <c r="A22" s="32">
        <v>10</v>
      </c>
      <c r="B22" s="24">
        <v>4.7</v>
      </c>
      <c r="C22" s="24">
        <v>11.03</v>
      </c>
      <c r="D22" s="24">
        <v>11.95</v>
      </c>
      <c r="E22" s="24">
        <v>2300</v>
      </c>
      <c r="F22" s="24">
        <v>0.39</v>
      </c>
      <c r="G22" s="24">
        <v>280</v>
      </c>
      <c r="H22" s="24">
        <v>337</v>
      </c>
      <c r="I22" s="33">
        <v>10000000</v>
      </c>
      <c r="J22" s="125">
        <f t="shared" si="0"/>
        <v>0.36172783601759306</v>
      </c>
      <c r="K22" s="33">
        <v>13000000</v>
      </c>
      <c r="L22" s="24">
        <v>0.27</v>
      </c>
      <c r="M22" s="35"/>
      <c r="N22" s="35"/>
      <c r="O22" s="35"/>
      <c r="P22" s="233">
        <f t="shared" si="1"/>
        <v>28571.428571428572</v>
      </c>
    </row>
    <row r="23" spans="1:19" ht="15.75" thickBot="1" x14ac:dyDescent="0.3">
      <c r="A23" s="32">
        <v>15</v>
      </c>
      <c r="B23" s="24">
        <v>4.5999999999999996</v>
      </c>
      <c r="C23" s="24">
        <v>10.98</v>
      </c>
      <c r="D23" s="24">
        <v>11.86</v>
      </c>
      <c r="E23" s="24">
        <v>2200</v>
      </c>
      <c r="F23" s="24">
        <v>0.35</v>
      </c>
      <c r="G23" s="24">
        <v>270</v>
      </c>
      <c r="H23" s="24">
        <v>343</v>
      </c>
      <c r="I23" s="33">
        <v>9600000</v>
      </c>
      <c r="J23" s="125">
        <f t="shared" si="0"/>
        <v>0.37945660297802508</v>
      </c>
      <c r="K23" s="33">
        <v>8300000</v>
      </c>
      <c r="L23" s="24">
        <v>0.46</v>
      </c>
      <c r="M23" s="35"/>
      <c r="N23" s="35"/>
      <c r="O23" s="35"/>
      <c r="P23" s="233">
        <f t="shared" si="1"/>
        <v>42857.142857142862</v>
      </c>
    </row>
    <row r="24" spans="1:19" ht="15.75" thickBot="1" x14ac:dyDescent="0.3">
      <c r="A24" s="32">
        <v>30</v>
      </c>
      <c r="B24" s="24">
        <v>4</v>
      </c>
      <c r="C24" s="24">
        <v>10.9</v>
      </c>
      <c r="D24" s="24">
        <v>11.99</v>
      </c>
      <c r="E24" s="24">
        <v>2200</v>
      </c>
      <c r="F24" s="24">
        <v>0.35</v>
      </c>
      <c r="G24" s="24">
        <v>280</v>
      </c>
      <c r="H24" s="24">
        <v>339</v>
      </c>
      <c r="I24" s="33">
        <v>1700000</v>
      </c>
      <c r="J24" s="125">
        <f t="shared" si="0"/>
        <v>1.131278914639319</v>
      </c>
      <c r="K24" s="33">
        <v>1700000</v>
      </c>
      <c r="L24" s="24">
        <v>1.1499999999999999</v>
      </c>
      <c r="M24" s="36">
        <v>93</v>
      </c>
      <c r="N24" s="36">
        <v>6382</v>
      </c>
      <c r="O24" s="36">
        <v>1830</v>
      </c>
      <c r="P24" s="233">
        <f t="shared" si="1"/>
        <v>85714.285714285725</v>
      </c>
    </row>
    <row r="25" spans="1:19" ht="15.75" thickBot="1" x14ac:dyDescent="0.3">
      <c r="A25" s="32" t="s">
        <v>52</v>
      </c>
      <c r="B25" s="24">
        <v>4</v>
      </c>
      <c r="C25" s="24">
        <v>10.9</v>
      </c>
      <c r="D25" s="24">
        <v>11.85</v>
      </c>
      <c r="E25" s="24">
        <v>1900</v>
      </c>
      <c r="F25" s="58">
        <v>0.26</v>
      </c>
      <c r="G25" s="24">
        <v>280</v>
      </c>
      <c r="H25" s="24">
        <v>333</v>
      </c>
      <c r="I25" s="33">
        <v>3500000</v>
      </c>
      <c r="J25" s="125">
        <f t="shared" si="0"/>
        <v>0.81765979166731739</v>
      </c>
      <c r="K25" s="33">
        <v>3100000</v>
      </c>
      <c r="L25" s="24">
        <v>0.89</v>
      </c>
      <c r="M25" s="36">
        <v>92</v>
      </c>
      <c r="N25" s="36">
        <v>6512</v>
      </c>
      <c r="O25" s="27"/>
      <c r="P25" s="233"/>
    </row>
    <row r="26" spans="1:19" x14ac:dyDescent="0.25">
      <c r="A26" s="28"/>
      <c r="B26" s="198">
        <f>AVERAGE(B20:B24)</f>
        <v>4.58</v>
      </c>
      <c r="C26" s="198">
        <f>AVERAGE(C20:C24)</f>
        <v>10.998000000000001</v>
      </c>
      <c r="D26" s="28"/>
      <c r="E26" s="28"/>
      <c r="F26" s="28"/>
      <c r="G26" s="28"/>
      <c r="H26" s="28"/>
      <c r="I26" s="29"/>
      <c r="J26" s="28">
        <v>1.1000000000000001</v>
      </c>
      <c r="K26" s="28"/>
      <c r="L26" s="28"/>
      <c r="M26" s="28"/>
      <c r="N26" s="28"/>
      <c r="O26" s="28"/>
    </row>
    <row r="27" spans="1:19" x14ac:dyDescent="0.25">
      <c r="A27" s="28" t="s">
        <v>140</v>
      </c>
      <c r="B27" s="8"/>
      <c r="C27" s="8"/>
      <c r="D27" s="8"/>
      <c r="E27" s="8"/>
      <c r="F27" s="8"/>
      <c r="G27" s="8"/>
      <c r="H27" s="8"/>
      <c r="I27" s="25"/>
      <c r="J27" s="8"/>
      <c r="K27" s="8"/>
      <c r="L27" s="8"/>
      <c r="M27" s="8"/>
      <c r="N27" s="28"/>
      <c r="O27" s="8"/>
    </row>
    <row r="28" spans="1:19" x14ac:dyDescent="0.25">
      <c r="A28" s="28"/>
      <c r="B28" s="28" t="s">
        <v>141</v>
      </c>
      <c r="C28" s="8"/>
      <c r="D28" s="8"/>
      <c r="E28" s="8"/>
      <c r="F28" s="8"/>
      <c r="G28" s="8"/>
      <c r="H28" s="8"/>
      <c r="I28" s="25"/>
      <c r="J28" s="8"/>
      <c r="K28" s="8"/>
      <c r="L28" s="8"/>
      <c r="M28" s="8"/>
      <c r="N28" s="28"/>
      <c r="O28" s="8"/>
    </row>
    <row r="29" spans="1:19" x14ac:dyDescent="0.25">
      <c r="A29" s="28" t="s">
        <v>203</v>
      </c>
      <c r="B29" s="28"/>
      <c r="C29" s="28"/>
      <c r="D29" s="28"/>
      <c r="E29" s="28"/>
      <c r="F29" s="28"/>
      <c r="G29" s="28"/>
      <c r="H29" s="28"/>
      <c r="I29" s="29"/>
      <c r="J29" s="28"/>
      <c r="K29" s="28"/>
      <c r="L29" s="28" t="s">
        <v>34</v>
      </c>
      <c r="M29" s="28"/>
      <c r="N29" s="28" t="s">
        <v>34</v>
      </c>
      <c r="O29" s="28"/>
    </row>
    <row r="30" spans="1:19" x14ac:dyDescent="0.25">
      <c r="A30" s="59"/>
      <c r="F30" s="28"/>
      <c r="G30" s="28"/>
      <c r="H30" s="28"/>
      <c r="I30" s="29"/>
      <c r="J30" s="28"/>
      <c r="K30" s="28"/>
      <c r="L30" s="28" t="s">
        <v>34</v>
      </c>
      <c r="M30" s="28" t="s">
        <v>34</v>
      </c>
      <c r="N30" s="28"/>
      <c r="O30" s="28"/>
    </row>
    <row r="31" spans="1:19" x14ac:dyDescent="0.25">
      <c r="E31" s="28"/>
      <c r="F31" s="28"/>
      <c r="G31" s="28"/>
      <c r="H31" s="28"/>
      <c r="I31" s="29"/>
      <c r="J31" s="28"/>
      <c r="K31" s="28"/>
      <c r="L31" s="28"/>
      <c r="M31" s="28" t="s">
        <v>34</v>
      </c>
      <c r="N31" s="28"/>
      <c r="O31" s="28"/>
    </row>
    <row r="32" spans="1:19" x14ac:dyDescent="0.25">
      <c r="E32" s="28"/>
      <c r="F32" s="28"/>
      <c r="G32" s="28"/>
      <c r="H32" s="28"/>
      <c r="I32" s="29"/>
      <c r="J32" s="28"/>
      <c r="K32" s="28"/>
      <c r="L32" s="28"/>
      <c r="M32" s="28" t="s">
        <v>34</v>
      </c>
      <c r="N32" s="28"/>
      <c r="O32" s="28"/>
    </row>
    <row r="33" spans="1:15" x14ac:dyDescent="0.25">
      <c r="A33" s="19" t="s">
        <v>28</v>
      </c>
      <c r="B33" s="28"/>
      <c r="C33" s="28"/>
      <c r="D33" s="28"/>
      <c r="E33" s="41"/>
      <c r="F33" s="41"/>
      <c r="G33" s="41"/>
      <c r="H33" s="41"/>
      <c r="I33" s="41"/>
      <c r="J33" s="41"/>
      <c r="K33" s="41"/>
      <c r="L33" s="41"/>
      <c r="M33" s="28"/>
      <c r="N33" s="28"/>
      <c r="O33" s="28"/>
    </row>
    <row r="34" spans="1:15" x14ac:dyDescent="0.25">
      <c r="A34" s="28"/>
      <c r="B34" s="22"/>
      <c r="C34" s="28"/>
      <c r="D34" s="28"/>
      <c r="E34" s="41"/>
      <c r="F34" s="41"/>
      <c r="G34" s="41"/>
      <c r="H34" s="41"/>
      <c r="I34" s="41"/>
      <c r="J34" s="41"/>
      <c r="K34" s="41"/>
      <c r="L34" s="41"/>
      <c r="M34" s="28"/>
      <c r="N34" s="28"/>
      <c r="O34" s="28"/>
    </row>
    <row r="35" spans="1:15" x14ac:dyDescent="0.25">
      <c r="A35" s="28"/>
      <c r="B35" s="41" t="s">
        <v>226</v>
      </c>
      <c r="C35" s="41"/>
      <c r="D35" s="41"/>
      <c r="E35" s="8"/>
      <c r="F35" s="8"/>
      <c r="G35" s="8"/>
      <c r="H35" s="8"/>
      <c r="I35" s="25"/>
      <c r="J35" s="8"/>
      <c r="K35" s="8"/>
      <c r="L35" s="28"/>
      <c r="M35" s="28"/>
      <c r="N35" s="28"/>
      <c r="O35" s="28"/>
    </row>
    <row r="36" spans="1:15" x14ac:dyDescent="0.25">
      <c r="A36" s="28"/>
      <c r="B36" s="41" t="s">
        <v>172</v>
      </c>
      <c r="C36" s="41"/>
      <c r="D36" s="41"/>
      <c r="M36" s="28"/>
      <c r="N36" s="28"/>
      <c r="O36" s="28"/>
    </row>
    <row r="37" spans="1:15" x14ac:dyDescent="0.25">
      <c r="A37" s="28"/>
      <c r="B37" s="22" t="s">
        <v>146</v>
      </c>
      <c r="C37" s="8"/>
      <c r="D37" s="8"/>
      <c r="M37" s="28"/>
      <c r="N37" s="28"/>
      <c r="O37" s="28"/>
    </row>
    <row r="38" spans="1:15" x14ac:dyDescent="0.25">
      <c r="A38" s="28"/>
      <c r="B38" s="41" t="s">
        <v>222</v>
      </c>
      <c r="E38" s="8"/>
      <c r="F38" s="8"/>
      <c r="G38" s="8"/>
      <c r="H38" s="8"/>
      <c r="I38" s="25"/>
      <c r="J38" s="8"/>
      <c r="K38" s="8"/>
      <c r="L38" s="28"/>
      <c r="M38" s="28"/>
      <c r="N38" s="28"/>
      <c r="O38" s="28"/>
    </row>
    <row r="39" spans="1:15" x14ac:dyDescent="0.25">
      <c r="A39" s="28"/>
      <c r="B39" s="41" t="s">
        <v>223</v>
      </c>
      <c r="E39" s="8"/>
      <c r="F39" s="8"/>
      <c r="G39" s="8"/>
      <c r="H39" s="8"/>
      <c r="I39" s="25"/>
      <c r="J39" s="8"/>
      <c r="K39" s="8"/>
      <c r="L39" s="28"/>
      <c r="N39" s="28"/>
      <c r="O39" s="28"/>
    </row>
    <row r="40" spans="1:15" x14ac:dyDescent="0.25">
      <c r="A40" s="28"/>
      <c r="B40" s="22" t="s">
        <v>156</v>
      </c>
      <c r="C40" s="8"/>
      <c r="D40" s="8"/>
      <c r="L40" s="28"/>
      <c r="N40" s="28"/>
      <c r="O40" s="28"/>
    </row>
    <row r="41" spans="1:15" x14ac:dyDescent="0.25">
      <c r="A41" s="28"/>
      <c r="B41" s="20" t="s">
        <v>36</v>
      </c>
      <c r="C41" s="8"/>
      <c r="D41" s="8"/>
      <c r="L41" s="28"/>
      <c r="M41" s="28"/>
      <c r="N41" s="28"/>
      <c r="O41" s="28"/>
    </row>
    <row r="42" spans="1:15" x14ac:dyDescent="0.25">
      <c r="A42" s="28"/>
      <c r="B42" s="22" t="s">
        <v>133</v>
      </c>
      <c r="E42" s="64"/>
      <c r="F42" s="64"/>
      <c r="G42" s="64"/>
      <c r="H42" s="64"/>
      <c r="I42" s="64"/>
      <c r="J42" s="64"/>
      <c r="K42" s="64"/>
      <c r="L42" s="65"/>
      <c r="N42" s="28"/>
      <c r="O42" s="28"/>
    </row>
    <row r="43" spans="1:15" x14ac:dyDescent="0.25">
      <c r="A43" s="28"/>
      <c r="B43" s="22"/>
      <c r="E43" s="8"/>
      <c r="F43" s="8"/>
      <c r="G43" s="8"/>
      <c r="H43" s="8"/>
      <c r="I43" s="25"/>
      <c r="J43" s="8"/>
      <c r="K43" s="8"/>
      <c r="L43" s="28"/>
      <c r="N43" s="28"/>
      <c r="O43" s="28"/>
    </row>
    <row r="44" spans="1:15" x14ac:dyDescent="0.25">
      <c r="A44" s="28"/>
      <c r="B44" s="41" t="s">
        <v>224</v>
      </c>
      <c r="C44" s="64"/>
      <c r="D44" s="64"/>
      <c r="N44" s="28"/>
      <c r="O44" s="28"/>
    </row>
    <row r="45" spans="1:15" x14ac:dyDescent="0.25">
      <c r="B45" s="22" t="s">
        <v>204</v>
      </c>
      <c r="C45" s="8"/>
      <c r="D45" s="8"/>
      <c r="E45" s="41"/>
      <c r="F45" s="41"/>
      <c r="G45" s="41"/>
      <c r="H45" s="41"/>
      <c r="I45" s="41"/>
      <c r="J45" s="41"/>
      <c r="K45" s="41"/>
    </row>
    <row r="46" spans="1:15" x14ac:dyDescent="0.25">
      <c r="E46" s="41"/>
      <c r="F46" s="41"/>
      <c r="G46" s="41"/>
      <c r="H46" s="41"/>
      <c r="I46" s="41"/>
      <c r="J46" s="41"/>
      <c r="K46" s="41"/>
    </row>
    <row r="47" spans="1:15" x14ac:dyDescent="0.25">
      <c r="B47" s="41" t="s">
        <v>154</v>
      </c>
      <c r="C47" s="41"/>
      <c r="D47" s="41"/>
      <c r="E47" s="28"/>
      <c r="F47" s="28"/>
      <c r="G47" s="28"/>
      <c r="H47" s="29"/>
      <c r="I47" s="28"/>
      <c r="J47" s="41"/>
      <c r="K47" s="28"/>
    </row>
    <row r="48" spans="1:15" x14ac:dyDescent="0.25">
      <c r="B48" s="41" t="s">
        <v>155</v>
      </c>
      <c r="C48" s="41"/>
      <c r="D48" s="41"/>
    </row>
    <row r="49" spans="2:4" x14ac:dyDescent="0.25">
      <c r="B49" s="22" t="s">
        <v>157</v>
      </c>
      <c r="C49" s="28"/>
      <c r="D49" s="28"/>
    </row>
  </sheetData>
  <pageMargins left="0.7" right="0.7" top="0.75" bottom="0.75" header="0.3" footer="0.3"/>
  <pageSetup scale="65" orientation="landscape" verticalDpi="597"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9" tint="-0.499984740745262"/>
    <pageSetUpPr fitToPage="1"/>
  </sheetPr>
  <dimension ref="A6:S48"/>
  <sheetViews>
    <sheetView zoomScale="90" zoomScaleNormal="90" workbookViewId="0"/>
  </sheetViews>
  <sheetFormatPr defaultRowHeight="15" x14ac:dyDescent="0.25"/>
  <cols>
    <col min="1" max="1" width="7.85546875" customWidth="1"/>
    <col min="2" max="2" width="10.7109375" customWidth="1"/>
    <col min="3" max="3" width="6.140625" customWidth="1"/>
    <col min="5" max="5" width="7.85546875" customWidth="1"/>
    <col min="7" max="7" width="9.140625" customWidth="1"/>
    <col min="8" max="8" width="7.5703125" customWidth="1"/>
    <col min="10" max="10" width="7" customWidth="1"/>
    <col min="12" max="12" width="6.28515625" customWidth="1"/>
    <col min="13" max="14" width="7.5703125"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40961</v>
      </c>
      <c r="C7" s="28"/>
      <c r="D7" s="28"/>
      <c r="E7" s="28"/>
      <c r="F7" s="28"/>
      <c r="G7" s="28"/>
      <c r="H7" s="28"/>
      <c r="I7" s="29"/>
      <c r="J7" s="28"/>
      <c r="K7" s="28"/>
      <c r="L7" s="28"/>
      <c r="M7" s="28"/>
      <c r="N7" s="28"/>
      <c r="O7" s="28"/>
    </row>
    <row r="8" spans="1:15" x14ac:dyDescent="0.25">
      <c r="A8" s="28" t="s">
        <v>14</v>
      </c>
      <c r="B8" s="28">
        <v>14</v>
      </c>
      <c r="C8" s="28" t="s">
        <v>484</v>
      </c>
      <c r="D8" s="28"/>
      <c r="E8" s="28"/>
      <c r="F8" s="28"/>
      <c r="G8" s="28"/>
      <c r="H8" s="28"/>
      <c r="I8" s="29"/>
      <c r="J8" s="28"/>
      <c r="K8" s="28" t="s">
        <v>34</v>
      </c>
      <c r="L8" s="28" t="s">
        <v>34</v>
      </c>
      <c r="M8" s="28"/>
      <c r="N8" s="28"/>
      <c r="O8" s="28"/>
    </row>
    <row r="9" spans="1:15" x14ac:dyDescent="0.25">
      <c r="A9" s="8" t="s">
        <v>15</v>
      </c>
      <c r="B9" s="8">
        <v>11</v>
      </c>
      <c r="C9" s="28" t="s">
        <v>192</v>
      </c>
      <c r="D9" s="8"/>
      <c r="E9" s="8"/>
      <c r="F9" s="8"/>
      <c r="G9" s="8"/>
      <c r="H9" s="8"/>
      <c r="I9" s="25"/>
      <c r="J9" s="8"/>
      <c r="K9" s="8"/>
      <c r="L9" s="8"/>
      <c r="M9" s="8"/>
      <c r="N9" s="8"/>
      <c r="O9" s="8"/>
    </row>
    <row r="10" spans="1:15" x14ac:dyDescent="0.25">
      <c r="A10" s="28" t="s">
        <v>16</v>
      </c>
      <c r="B10" s="87">
        <v>2000</v>
      </c>
      <c r="C10" s="31" t="s">
        <v>143</v>
      </c>
      <c r="D10" s="28"/>
      <c r="E10" s="28"/>
      <c r="F10" s="28"/>
      <c r="G10" s="28"/>
      <c r="H10" s="28"/>
      <c r="I10" s="29" t="s">
        <v>34</v>
      </c>
      <c r="J10" s="28" t="s">
        <v>34</v>
      </c>
      <c r="K10" s="28" t="s">
        <v>34</v>
      </c>
      <c r="L10" s="28" t="s">
        <v>34</v>
      </c>
      <c r="M10" s="28" t="s">
        <v>34</v>
      </c>
      <c r="N10" s="28" t="s">
        <v>34</v>
      </c>
      <c r="O10" s="28"/>
    </row>
    <row r="11" spans="1:15" x14ac:dyDescent="0.25">
      <c r="A11" s="28"/>
      <c r="B11" s="243">
        <v>200000000</v>
      </c>
      <c r="C11" s="31" t="s">
        <v>58</v>
      </c>
      <c r="D11" s="28"/>
      <c r="E11" s="28"/>
      <c r="F11" s="28"/>
      <c r="G11" s="28"/>
      <c r="H11" s="28"/>
      <c r="I11" s="29"/>
      <c r="J11" s="28"/>
      <c r="K11" s="28" t="s">
        <v>34</v>
      </c>
      <c r="L11" s="28"/>
      <c r="M11" s="28"/>
      <c r="N11" s="28"/>
      <c r="O11" s="28"/>
    </row>
    <row r="12" spans="1:15" x14ac:dyDescent="0.25">
      <c r="A12" s="28"/>
      <c r="B12" s="247">
        <v>95</v>
      </c>
      <c r="C12" s="31" t="s">
        <v>701</v>
      </c>
      <c r="D12" s="28"/>
      <c r="E12" s="28"/>
      <c r="F12" s="28"/>
      <c r="G12" s="28"/>
      <c r="H12" s="28"/>
      <c r="I12" s="29"/>
      <c r="J12" s="28"/>
      <c r="K12" s="28"/>
      <c r="L12" s="28"/>
      <c r="M12" s="28"/>
      <c r="N12" s="28"/>
      <c r="O12" s="28"/>
    </row>
    <row r="13" spans="1:15" x14ac:dyDescent="0.25">
      <c r="A13" s="28"/>
      <c r="B13" s="244">
        <v>6</v>
      </c>
      <c r="C13" s="28" t="s">
        <v>697</v>
      </c>
      <c r="D13" s="28"/>
      <c r="E13" s="28"/>
      <c r="F13" s="28"/>
      <c r="G13" s="28"/>
      <c r="H13" s="28"/>
      <c r="I13" s="242"/>
      <c r="J13" s="28"/>
      <c r="K13" s="28"/>
      <c r="L13" s="28"/>
      <c r="M13" s="28"/>
      <c r="N13" s="28"/>
      <c r="O13" s="28"/>
    </row>
    <row r="14" spans="1:15" x14ac:dyDescent="0.25">
      <c r="A14" s="28"/>
      <c r="B14" s="244">
        <v>100</v>
      </c>
      <c r="C14" s="87" t="s">
        <v>696</v>
      </c>
      <c r="D14" s="28"/>
      <c r="E14" s="28"/>
      <c r="F14" s="28"/>
      <c r="G14" s="28"/>
      <c r="H14" s="28"/>
      <c r="I14" s="242"/>
      <c r="J14" s="28"/>
      <c r="K14" s="28"/>
      <c r="L14" s="28"/>
      <c r="M14" s="28"/>
      <c r="N14" s="28"/>
      <c r="O14" s="28"/>
    </row>
    <row r="15" spans="1:15" x14ac:dyDescent="0.25">
      <c r="A15" s="28"/>
      <c r="B15" s="244">
        <v>0</v>
      </c>
      <c r="C15" s="87" t="s">
        <v>698</v>
      </c>
      <c r="D15" s="28"/>
      <c r="E15" s="28"/>
      <c r="F15" s="28"/>
      <c r="G15" s="28"/>
      <c r="H15" s="28"/>
      <c r="I15" s="242"/>
      <c r="J15" s="28"/>
      <c r="K15" s="28"/>
      <c r="L15" s="28"/>
      <c r="M15" s="28"/>
      <c r="N15" s="28"/>
      <c r="O15" s="28"/>
    </row>
    <row r="16" spans="1:15" x14ac:dyDescent="0.25">
      <c r="A16" s="28"/>
      <c r="B16" s="245">
        <f>(B12*B13/100*1000)/(B10+B12-B14+B15)*1000</f>
        <v>2857.1428571428573</v>
      </c>
      <c r="C16" s="28" t="s">
        <v>700</v>
      </c>
      <c r="D16" s="28"/>
      <c r="E16" s="28"/>
      <c r="F16" s="28"/>
      <c r="G16" s="28"/>
      <c r="H16" s="28"/>
      <c r="I16" s="242"/>
      <c r="J16" s="28"/>
      <c r="K16" s="28"/>
      <c r="L16" s="28"/>
      <c r="M16" s="28"/>
      <c r="N16" s="28"/>
      <c r="O16" s="28"/>
    </row>
    <row r="17" spans="1:19" ht="15.75" thickBot="1" x14ac:dyDescent="0.3">
      <c r="A17" s="28"/>
      <c r="B17" s="28"/>
      <c r="C17" s="28" t="s">
        <v>705</v>
      </c>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3.9</v>
      </c>
      <c r="C19" s="23">
        <v>7.2</v>
      </c>
      <c r="D19" s="23">
        <v>6.63</v>
      </c>
      <c r="E19" s="23">
        <v>0.51</v>
      </c>
      <c r="F19" s="23">
        <v>0.35</v>
      </c>
      <c r="G19" s="23">
        <v>400</v>
      </c>
      <c r="H19" s="23">
        <v>276</v>
      </c>
      <c r="I19" s="33">
        <v>12000000</v>
      </c>
      <c r="J19" s="125">
        <f t="shared" ref="J19:J25" si="0">LOG(I$19)-LOG(I19)</f>
        <v>0</v>
      </c>
      <c r="K19" s="33">
        <v>15000000</v>
      </c>
      <c r="L19" s="23" t="s">
        <v>26</v>
      </c>
      <c r="M19" s="34"/>
      <c r="N19" s="34"/>
      <c r="O19" s="35"/>
      <c r="P19" s="233">
        <f t="shared" ref="P19:P24" si="1">B$16*A19</f>
        <v>0</v>
      </c>
      <c r="Q19" s="233">
        <f>6/LINEST(J19:J24,P19:P24,FALSE)</f>
        <v>728575.64053801447</v>
      </c>
      <c r="R19" s="233">
        <f>Q19/3000</f>
        <v>242.85854684600483</v>
      </c>
      <c r="S19" s="233">
        <f>(J26/LINEST($J19:$J24,$P19:$P24,FALSE))/$B$16</f>
        <v>29.750171988635589</v>
      </c>
    </row>
    <row r="20" spans="1:19" ht="15.75" thickBot="1" x14ac:dyDescent="0.3">
      <c r="A20" s="32">
        <v>3</v>
      </c>
      <c r="B20" s="24">
        <v>4</v>
      </c>
      <c r="C20" s="24">
        <v>10.91</v>
      </c>
      <c r="D20" s="24">
        <v>12.02</v>
      </c>
      <c r="E20" s="24">
        <v>2200</v>
      </c>
      <c r="F20" s="24">
        <v>0.27</v>
      </c>
      <c r="G20" s="24">
        <v>280</v>
      </c>
      <c r="H20" s="24">
        <v>196</v>
      </c>
      <c r="I20" s="33">
        <v>8300000</v>
      </c>
      <c r="J20" s="125">
        <f t="shared" si="0"/>
        <v>0.16010315367155137</v>
      </c>
      <c r="K20" s="33">
        <v>11000000</v>
      </c>
      <c r="L20" s="24">
        <v>0.13</v>
      </c>
      <c r="M20" s="35"/>
      <c r="N20" s="35"/>
      <c r="O20" s="35"/>
      <c r="P20" s="233">
        <f t="shared" si="1"/>
        <v>8571.4285714285725</v>
      </c>
    </row>
    <row r="21" spans="1:19" ht="15.75" thickBot="1" x14ac:dyDescent="0.3">
      <c r="A21" s="32">
        <v>5</v>
      </c>
      <c r="B21" s="24">
        <v>4</v>
      </c>
      <c r="C21" s="24">
        <v>10.95</v>
      </c>
      <c r="D21" s="24">
        <v>11.88</v>
      </c>
      <c r="E21" s="24">
        <v>2400</v>
      </c>
      <c r="F21" s="24">
        <v>0.6</v>
      </c>
      <c r="G21" s="24">
        <v>280</v>
      </c>
      <c r="H21" s="24">
        <v>247</v>
      </c>
      <c r="I21" s="33">
        <v>8600000</v>
      </c>
      <c r="J21" s="125">
        <f t="shared" si="0"/>
        <v>0.14468279480405766</v>
      </c>
      <c r="K21" s="33">
        <v>10000000</v>
      </c>
      <c r="L21" s="24">
        <v>0.18</v>
      </c>
      <c r="M21" s="35"/>
      <c r="N21" s="35"/>
      <c r="O21" s="35"/>
      <c r="P21" s="233">
        <f t="shared" si="1"/>
        <v>14285.714285714286</v>
      </c>
    </row>
    <row r="22" spans="1:19" ht="15.75" thickBot="1" x14ac:dyDescent="0.3">
      <c r="A22" s="32">
        <v>10</v>
      </c>
      <c r="B22" s="24">
        <v>4</v>
      </c>
      <c r="C22" s="24">
        <v>10.89</v>
      </c>
      <c r="D22" s="24">
        <v>11.78</v>
      </c>
      <c r="E22" s="24">
        <v>2200</v>
      </c>
      <c r="F22" s="24">
        <v>0.42</v>
      </c>
      <c r="G22" s="24">
        <v>270</v>
      </c>
      <c r="H22" s="24">
        <v>237</v>
      </c>
      <c r="I22" s="33">
        <v>7100000</v>
      </c>
      <c r="J22" s="125">
        <f t="shared" si="0"/>
        <v>0.22792289732854965</v>
      </c>
      <c r="K22" s="33">
        <v>6000000</v>
      </c>
      <c r="L22" s="24">
        <v>0.4</v>
      </c>
      <c r="M22" s="35"/>
      <c r="N22" s="35"/>
      <c r="O22" s="35"/>
      <c r="P22" s="233">
        <f t="shared" si="1"/>
        <v>28571.428571428572</v>
      </c>
    </row>
    <row r="23" spans="1:19" ht="15.75" thickBot="1" x14ac:dyDescent="0.3">
      <c r="A23" s="32">
        <v>15</v>
      </c>
      <c r="B23" s="24">
        <v>4</v>
      </c>
      <c r="C23" s="24">
        <v>10.86</v>
      </c>
      <c r="D23" s="24">
        <v>11.83</v>
      </c>
      <c r="E23" s="24">
        <v>2400</v>
      </c>
      <c r="F23" s="24">
        <v>0.49</v>
      </c>
      <c r="G23" s="24">
        <v>280</v>
      </c>
      <c r="H23" s="24">
        <v>162</v>
      </c>
      <c r="I23" s="33">
        <v>5000000</v>
      </c>
      <c r="J23" s="125">
        <f t="shared" si="0"/>
        <v>0.38021124171160636</v>
      </c>
      <c r="K23" s="33">
        <v>5700000</v>
      </c>
      <c r="L23" s="24">
        <v>0.42</v>
      </c>
      <c r="M23" s="35"/>
      <c r="N23" s="35"/>
      <c r="O23" s="35"/>
      <c r="P23" s="233">
        <f t="shared" si="1"/>
        <v>42857.142857142862</v>
      </c>
    </row>
    <row r="24" spans="1:19" ht="15.75" thickBot="1" x14ac:dyDescent="0.3">
      <c r="A24" s="32">
        <v>30</v>
      </c>
      <c r="B24" s="24">
        <v>4</v>
      </c>
      <c r="C24" s="24">
        <v>10.77</v>
      </c>
      <c r="D24" s="24">
        <v>11.98</v>
      </c>
      <c r="E24" s="24">
        <v>2300</v>
      </c>
      <c r="F24" s="24">
        <v>0.36</v>
      </c>
      <c r="G24" s="24">
        <v>270</v>
      </c>
      <c r="H24" s="24">
        <v>246</v>
      </c>
      <c r="I24" s="33">
        <v>2500000</v>
      </c>
      <c r="J24" s="125">
        <f t="shared" si="0"/>
        <v>0.68124123737558762</v>
      </c>
      <c r="K24" s="33">
        <v>2600000</v>
      </c>
      <c r="L24" s="24">
        <v>0.76</v>
      </c>
      <c r="M24" s="36">
        <v>59</v>
      </c>
      <c r="N24" s="36">
        <v>5187</v>
      </c>
      <c r="O24" s="36">
        <v>1825</v>
      </c>
      <c r="P24" s="233">
        <f t="shared" si="1"/>
        <v>85714.285714285725</v>
      </c>
    </row>
    <row r="25" spans="1:19" ht="15.75" thickBot="1" x14ac:dyDescent="0.3">
      <c r="A25" s="32" t="s">
        <v>52</v>
      </c>
      <c r="B25" s="24">
        <v>4</v>
      </c>
      <c r="C25" s="24">
        <v>10.77</v>
      </c>
      <c r="D25" s="24">
        <v>11.89</v>
      </c>
      <c r="E25" s="24">
        <v>2200</v>
      </c>
      <c r="F25" s="58">
        <v>0.35</v>
      </c>
      <c r="G25" s="24">
        <v>260</v>
      </c>
      <c r="H25" s="24">
        <v>318</v>
      </c>
      <c r="I25" s="73">
        <v>3900000</v>
      </c>
      <c r="J25" s="125">
        <f t="shared" si="0"/>
        <v>0.48811663902112556</v>
      </c>
      <c r="K25" s="33">
        <v>2100000</v>
      </c>
      <c r="L25" s="24">
        <v>0.85</v>
      </c>
      <c r="M25" s="36">
        <v>60</v>
      </c>
      <c r="N25" s="36">
        <v>5127</v>
      </c>
      <c r="O25" s="27"/>
      <c r="P25" s="233"/>
    </row>
    <row r="26" spans="1:19" x14ac:dyDescent="0.25">
      <c r="A26" s="28"/>
      <c r="B26" s="198">
        <f>AVERAGE(B20:B24)</f>
        <v>4</v>
      </c>
      <c r="C26" s="198">
        <f>AVERAGE(C20:C24)</f>
        <v>10.875999999999999</v>
      </c>
      <c r="D26" s="28"/>
      <c r="E26" s="28"/>
      <c r="F26" s="28"/>
      <c r="G26" s="28"/>
      <c r="H26" s="28"/>
      <c r="I26" s="29"/>
      <c r="J26" s="28">
        <v>0.7</v>
      </c>
      <c r="K26" s="28"/>
      <c r="L26" s="28"/>
      <c r="M26" s="28"/>
      <c r="N26" s="28"/>
      <c r="O26" s="28"/>
    </row>
    <row r="27" spans="1:19" x14ac:dyDescent="0.25">
      <c r="A27" s="28" t="s">
        <v>140</v>
      </c>
      <c r="B27" s="8"/>
      <c r="C27" s="8"/>
      <c r="D27" s="8"/>
      <c r="E27" s="8"/>
      <c r="F27" s="8"/>
      <c r="G27" s="8"/>
      <c r="H27" s="8"/>
      <c r="I27" s="25"/>
      <c r="J27" s="8"/>
      <c r="K27" s="8"/>
      <c r="L27" s="8"/>
      <c r="M27" s="8"/>
      <c r="N27" s="28"/>
      <c r="O27" s="8"/>
    </row>
    <row r="28" spans="1:19" x14ac:dyDescent="0.25">
      <c r="A28" s="28"/>
      <c r="B28" s="28" t="s">
        <v>141</v>
      </c>
      <c r="C28" s="8"/>
      <c r="D28" s="8"/>
      <c r="E28" s="8"/>
      <c r="F28" s="8"/>
      <c r="G28" s="8"/>
      <c r="H28" s="8"/>
      <c r="I28" s="25"/>
      <c r="J28" s="8"/>
      <c r="K28" s="8"/>
      <c r="L28" s="8"/>
      <c r="M28" s="8"/>
      <c r="N28" s="28"/>
      <c r="O28" s="8"/>
    </row>
    <row r="29" spans="1:19" x14ac:dyDescent="0.25">
      <c r="A29" s="28" t="s">
        <v>205</v>
      </c>
      <c r="B29" s="28"/>
      <c r="C29" s="28"/>
      <c r="D29" s="28"/>
      <c r="E29" s="28"/>
      <c r="F29" s="28"/>
      <c r="G29" s="28"/>
      <c r="H29" s="28"/>
      <c r="I29" s="29"/>
      <c r="J29" s="28" t="s">
        <v>34</v>
      </c>
      <c r="K29" s="28"/>
      <c r="L29" s="28" t="s">
        <v>34</v>
      </c>
      <c r="M29" s="28"/>
      <c r="N29" s="28" t="s">
        <v>34</v>
      </c>
      <c r="O29" s="28"/>
    </row>
    <row r="30" spans="1:19" x14ac:dyDescent="0.25">
      <c r="A30" s="59"/>
      <c r="F30" s="28"/>
      <c r="G30" s="28"/>
      <c r="H30" s="28"/>
      <c r="I30" s="29"/>
      <c r="J30" s="28"/>
      <c r="K30" s="28"/>
      <c r="L30" s="28" t="s">
        <v>34</v>
      </c>
      <c r="M30" s="28" t="s">
        <v>34</v>
      </c>
      <c r="N30" s="28"/>
      <c r="O30" s="28"/>
    </row>
    <row r="31" spans="1:19" x14ac:dyDescent="0.25">
      <c r="A31" s="19" t="s">
        <v>28</v>
      </c>
      <c r="B31" s="28"/>
      <c r="C31" s="28"/>
      <c r="D31" s="28"/>
      <c r="E31" s="28"/>
      <c r="F31" s="28"/>
      <c r="G31" s="28"/>
      <c r="H31" s="28"/>
      <c r="I31" s="29"/>
      <c r="J31" s="28"/>
      <c r="K31" s="28" t="s">
        <v>34</v>
      </c>
      <c r="L31" s="28"/>
      <c r="M31" s="28" t="s">
        <v>34</v>
      </c>
      <c r="N31" s="28"/>
      <c r="O31" s="28"/>
    </row>
    <row r="32" spans="1:19" x14ac:dyDescent="0.25">
      <c r="A32" s="28"/>
      <c r="B32" s="22"/>
      <c r="C32" s="28"/>
      <c r="D32" s="28"/>
      <c r="E32" s="28"/>
      <c r="F32" s="28"/>
      <c r="G32" s="28"/>
      <c r="H32" s="28"/>
      <c r="I32" s="29"/>
      <c r="J32" s="28"/>
      <c r="K32" s="28"/>
      <c r="L32" s="28"/>
      <c r="M32" s="28" t="s">
        <v>34</v>
      </c>
      <c r="N32" s="28"/>
      <c r="O32" s="28"/>
    </row>
    <row r="33" spans="1:15" x14ac:dyDescent="0.25">
      <c r="A33" s="28"/>
      <c r="B33" s="41" t="s">
        <v>225</v>
      </c>
      <c r="C33" s="41"/>
      <c r="D33" s="41"/>
      <c r="E33" s="41"/>
      <c r="F33" s="41"/>
      <c r="G33" s="41"/>
      <c r="H33" s="41"/>
      <c r="I33" s="41"/>
      <c r="J33" s="41"/>
      <c r="K33" s="41"/>
      <c r="L33" s="41"/>
      <c r="M33" s="28"/>
      <c r="N33" s="28"/>
      <c r="O33" s="28"/>
    </row>
    <row r="34" spans="1:15" x14ac:dyDescent="0.25">
      <c r="A34" s="28"/>
      <c r="B34" s="41" t="s">
        <v>172</v>
      </c>
      <c r="C34" s="41"/>
      <c r="D34" s="41"/>
      <c r="E34" s="41"/>
      <c r="F34" s="41"/>
      <c r="G34" s="41"/>
      <c r="H34" s="41"/>
      <c r="I34" s="41"/>
      <c r="J34" s="41"/>
      <c r="K34" s="41"/>
      <c r="L34" s="41"/>
      <c r="M34" s="28"/>
      <c r="N34" s="28"/>
      <c r="O34" s="28"/>
    </row>
    <row r="35" spans="1:15" x14ac:dyDescent="0.25">
      <c r="A35" s="28"/>
      <c r="B35" s="22" t="s">
        <v>146</v>
      </c>
      <c r="C35" s="8"/>
      <c r="D35" s="8"/>
      <c r="E35" s="8"/>
      <c r="F35" s="8"/>
      <c r="G35" s="8"/>
      <c r="H35" s="8"/>
      <c r="I35" s="25"/>
      <c r="J35" s="8"/>
      <c r="K35" s="8"/>
      <c r="L35" s="28"/>
      <c r="M35" s="28"/>
      <c r="N35" s="28"/>
      <c r="O35" s="28"/>
    </row>
    <row r="36" spans="1:15" x14ac:dyDescent="0.25">
      <c r="A36" s="28"/>
      <c r="B36" s="41" t="s">
        <v>222</v>
      </c>
      <c r="M36" s="28"/>
      <c r="N36" s="28"/>
      <c r="O36" s="28"/>
    </row>
    <row r="37" spans="1:15" x14ac:dyDescent="0.25">
      <c r="A37" s="28"/>
      <c r="B37" s="41" t="s">
        <v>223</v>
      </c>
      <c r="M37" s="28"/>
      <c r="N37" s="28"/>
      <c r="O37" s="28"/>
    </row>
    <row r="38" spans="1:15" x14ac:dyDescent="0.25">
      <c r="A38" s="28"/>
      <c r="B38" s="22" t="s">
        <v>227</v>
      </c>
      <c r="C38" s="8"/>
      <c r="D38" s="8"/>
      <c r="E38" s="8"/>
      <c r="F38" s="8"/>
      <c r="G38" s="8"/>
      <c r="H38" s="8"/>
      <c r="I38" s="25"/>
      <c r="J38" s="8"/>
      <c r="K38" s="8"/>
      <c r="L38" s="28"/>
      <c r="M38" s="28"/>
      <c r="N38" s="28"/>
      <c r="O38" s="28"/>
    </row>
    <row r="39" spans="1:15" x14ac:dyDescent="0.25">
      <c r="A39" s="28"/>
      <c r="B39" s="41" t="s">
        <v>206</v>
      </c>
      <c r="N39" s="28"/>
      <c r="O39" s="28"/>
    </row>
    <row r="40" spans="1:15" x14ac:dyDescent="0.25">
      <c r="A40" s="28"/>
      <c r="B40" s="75" t="s">
        <v>36</v>
      </c>
      <c r="C40" s="8"/>
      <c r="D40" s="8"/>
      <c r="E40" s="8"/>
      <c r="F40" s="8"/>
      <c r="G40" s="8"/>
      <c r="H40" s="8"/>
      <c r="I40" s="25"/>
      <c r="J40" s="8"/>
      <c r="K40" s="8"/>
      <c r="L40" s="28"/>
      <c r="N40" s="28"/>
      <c r="O40" s="28"/>
    </row>
    <row r="41" spans="1:15" x14ac:dyDescent="0.25">
      <c r="A41" s="28"/>
      <c r="B41" s="22" t="s">
        <v>133</v>
      </c>
      <c r="L41" s="28"/>
      <c r="N41" s="28"/>
      <c r="O41" s="28"/>
    </row>
    <row r="42" spans="1:15" x14ac:dyDescent="0.25">
      <c r="M42" s="28"/>
      <c r="N42" s="28"/>
      <c r="O42" s="28"/>
    </row>
    <row r="43" spans="1:15" x14ac:dyDescent="0.25">
      <c r="B43" s="41" t="s">
        <v>230</v>
      </c>
      <c r="C43" s="64"/>
      <c r="D43" s="64"/>
      <c r="E43" s="64"/>
      <c r="F43" s="64"/>
      <c r="G43" s="64"/>
      <c r="H43" s="64"/>
      <c r="I43" s="64"/>
      <c r="J43" s="64"/>
      <c r="K43" s="64"/>
      <c r="L43" s="65"/>
      <c r="N43" s="28"/>
      <c r="O43" s="28"/>
    </row>
    <row r="44" spans="1:15" x14ac:dyDescent="0.25">
      <c r="B44" s="22" t="s">
        <v>204</v>
      </c>
      <c r="C44" s="8"/>
      <c r="D44" s="8"/>
      <c r="E44" s="8"/>
      <c r="F44" s="8"/>
      <c r="G44" s="8"/>
      <c r="H44" s="8"/>
      <c r="I44" s="25"/>
      <c r="J44" s="8"/>
      <c r="K44" s="8"/>
      <c r="L44" s="28"/>
    </row>
    <row r="46" spans="1:15" x14ac:dyDescent="0.25">
      <c r="B46" s="41" t="s">
        <v>154</v>
      </c>
      <c r="C46" s="41"/>
      <c r="D46" s="41"/>
      <c r="E46" s="41"/>
      <c r="F46" s="41"/>
      <c r="G46" s="41"/>
      <c r="H46" s="41"/>
      <c r="I46" s="41"/>
      <c r="J46" s="41"/>
      <c r="K46" s="41"/>
    </row>
    <row r="47" spans="1:15" x14ac:dyDescent="0.25">
      <c r="B47" s="41" t="s">
        <v>155</v>
      </c>
      <c r="C47" s="41"/>
      <c r="D47" s="41"/>
      <c r="E47" s="41"/>
      <c r="F47" s="41"/>
      <c r="G47" s="41"/>
      <c r="H47" s="41"/>
      <c r="I47" s="41"/>
      <c r="J47" s="41"/>
      <c r="K47" s="41"/>
    </row>
    <row r="48" spans="1:15" x14ac:dyDescent="0.25">
      <c r="B48" s="22" t="s">
        <v>157</v>
      </c>
      <c r="C48" s="28"/>
      <c r="D48" s="28"/>
      <c r="E48" s="28"/>
      <c r="F48" s="28"/>
      <c r="G48" s="28"/>
      <c r="H48" s="29"/>
      <c r="I48" s="28"/>
      <c r="J48" s="41"/>
      <c r="K48" s="28"/>
    </row>
  </sheetData>
  <pageMargins left="0.7" right="0.7" top="0.75" bottom="0.75" header="0.3" footer="0.3"/>
  <pageSetup scale="66" orientation="landscape" verticalDpi="597"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9" tint="-0.499984740745262"/>
    <pageSetUpPr fitToPage="1"/>
  </sheetPr>
  <dimension ref="A6:S49"/>
  <sheetViews>
    <sheetView zoomScale="90" zoomScaleNormal="90" workbookViewId="0"/>
  </sheetViews>
  <sheetFormatPr defaultRowHeight="15" x14ac:dyDescent="0.25"/>
  <cols>
    <col min="1" max="1" width="7.7109375" customWidth="1"/>
    <col min="2" max="2" width="10.28515625" customWidth="1"/>
    <col min="3" max="3" width="6.5703125" customWidth="1"/>
    <col min="5" max="5" width="8.140625" customWidth="1"/>
    <col min="7" max="7" width="8.85546875" customWidth="1"/>
    <col min="8" max="8" width="7.5703125" customWidth="1"/>
    <col min="9" max="9" width="9.5703125" customWidth="1"/>
    <col min="10" max="10" width="7.140625" customWidth="1"/>
    <col min="12" max="12" width="6.140625" customWidth="1"/>
    <col min="13" max="13" width="7.28515625" customWidth="1"/>
    <col min="14" max="14" width="7.140625"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40962</v>
      </c>
      <c r="C7" s="28"/>
      <c r="D7" s="28"/>
      <c r="E7" s="28"/>
      <c r="F7" s="28"/>
      <c r="G7" s="28"/>
      <c r="H7" s="28"/>
      <c r="I7" s="29"/>
      <c r="J7" s="28"/>
      <c r="K7" s="28"/>
      <c r="L7" s="28"/>
      <c r="M7" s="28"/>
      <c r="N7" s="28"/>
      <c r="O7" s="28"/>
    </row>
    <row r="8" spans="1:15" x14ac:dyDescent="0.25">
      <c r="A8" s="28" t="s">
        <v>14</v>
      </c>
      <c r="B8" s="28">
        <v>15</v>
      </c>
      <c r="C8" s="28" t="s">
        <v>485</v>
      </c>
      <c r="D8" s="28"/>
      <c r="E8" s="28"/>
      <c r="F8" s="28"/>
      <c r="G8" s="28"/>
      <c r="H8" s="28"/>
      <c r="I8" s="29"/>
      <c r="J8" s="28"/>
      <c r="K8" s="28" t="s">
        <v>34</v>
      </c>
      <c r="L8" s="28" t="s">
        <v>34</v>
      </c>
      <c r="M8" s="28"/>
      <c r="N8" s="28"/>
      <c r="O8" s="28"/>
    </row>
    <row r="9" spans="1:15" x14ac:dyDescent="0.25">
      <c r="A9" s="8" t="s">
        <v>15</v>
      </c>
      <c r="B9" s="8">
        <v>11</v>
      </c>
      <c r="C9" s="28" t="s">
        <v>192</v>
      </c>
      <c r="D9" s="8"/>
      <c r="E9" s="8"/>
      <c r="F9" s="8"/>
      <c r="G9" s="8"/>
      <c r="H9" s="8"/>
      <c r="I9" s="25"/>
      <c r="J9" s="8"/>
      <c r="K9" s="8"/>
      <c r="L9" s="8"/>
      <c r="M9" s="8"/>
      <c r="N9" s="8"/>
      <c r="O9" s="8"/>
    </row>
    <row r="10" spans="1:15" x14ac:dyDescent="0.25">
      <c r="A10" s="28" t="s">
        <v>16</v>
      </c>
      <c r="B10" s="87">
        <v>2000</v>
      </c>
      <c r="C10" s="31" t="s">
        <v>143</v>
      </c>
      <c r="D10" s="28"/>
      <c r="E10" s="28"/>
      <c r="F10" s="28"/>
      <c r="G10" s="28"/>
      <c r="H10" s="28"/>
      <c r="I10" s="29" t="s">
        <v>34</v>
      </c>
      <c r="J10" s="28" t="s">
        <v>34</v>
      </c>
      <c r="K10" s="28" t="s">
        <v>34</v>
      </c>
      <c r="L10" s="28" t="s">
        <v>34</v>
      </c>
      <c r="M10" s="28" t="s">
        <v>34</v>
      </c>
      <c r="N10" s="28" t="s">
        <v>34</v>
      </c>
      <c r="O10" s="28"/>
    </row>
    <row r="11" spans="1:15" x14ac:dyDescent="0.25">
      <c r="A11" s="28"/>
      <c r="B11" s="243">
        <v>200000000</v>
      </c>
      <c r="C11" s="31" t="s">
        <v>58</v>
      </c>
      <c r="D11" s="28"/>
      <c r="E11" s="28"/>
      <c r="F11" s="28"/>
      <c r="G11" s="28"/>
      <c r="H11" s="28"/>
      <c r="I11" s="29"/>
      <c r="J11" s="28"/>
      <c r="K11" s="28" t="s">
        <v>34</v>
      </c>
      <c r="L11" s="28"/>
      <c r="M11" s="28"/>
      <c r="N11" s="28"/>
      <c r="O11" s="28"/>
    </row>
    <row r="12" spans="1:15" x14ac:dyDescent="0.25">
      <c r="A12" s="28"/>
      <c r="B12" s="87">
        <v>95</v>
      </c>
      <c r="C12" s="31" t="s">
        <v>44</v>
      </c>
      <c r="D12" s="28"/>
      <c r="E12" s="28"/>
      <c r="F12" s="28"/>
      <c r="G12" s="28"/>
      <c r="H12" s="28"/>
      <c r="I12" s="29"/>
      <c r="J12" s="28"/>
      <c r="K12" s="28"/>
      <c r="L12" s="28"/>
      <c r="M12" s="28"/>
      <c r="N12" s="28"/>
      <c r="O12" s="28"/>
    </row>
    <row r="13" spans="1:15" x14ac:dyDescent="0.25">
      <c r="A13" s="28"/>
      <c r="B13" s="244">
        <v>6</v>
      </c>
      <c r="C13" s="28" t="s">
        <v>697</v>
      </c>
      <c r="D13" s="28"/>
      <c r="E13" s="28"/>
      <c r="F13" s="28"/>
      <c r="G13" s="28"/>
      <c r="H13" s="28"/>
      <c r="I13" s="242"/>
      <c r="J13" s="28"/>
      <c r="K13" s="28"/>
      <c r="L13" s="28"/>
      <c r="M13" s="28"/>
      <c r="N13" s="28"/>
      <c r="O13" s="28"/>
    </row>
    <row r="14" spans="1:15" x14ac:dyDescent="0.25">
      <c r="A14" s="28"/>
      <c r="B14" s="244">
        <v>100</v>
      </c>
      <c r="C14" s="87" t="s">
        <v>696</v>
      </c>
      <c r="D14" s="28"/>
      <c r="E14" s="28"/>
      <c r="F14" s="28"/>
      <c r="G14" s="28"/>
      <c r="H14" s="28"/>
      <c r="I14" s="242"/>
      <c r="J14" s="28"/>
      <c r="K14" s="28"/>
      <c r="L14" s="28"/>
      <c r="M14" s="28"/>
      <c r="N14" s="28"/>
      <c r="O14" s="28"/>
    </row>
    <row r="15" spans="1:15" x14ac:dyDescent="0.25">
      <c r="A15" s="28"/>
      <c r="B15" s="244">
        <v>0</v>
      </c>
      <c r="C15" s="87" t="s">
        <v>698</v>
      </c>
      <c r="D15" s="28"/>
      <c r="E15" s="28"/>
      <c r="F15" s="28"/>
      <c r="G15" s="28"/>
      <c r="H15" s="28"/>
      <c r="I15" s="242"/>
      <c r="J15" s="28"/>
      <c r="K15" s="28"/>
      <c r="L15" s="28"/>
      <c r="M15" s="28"/>
      <c r="N15" s="28"/>
      <c r="O15" s="28"/>
    </row>
    <row r="16" spans="1:15" x14ac:dyDescent="0.25">
      <c r="A16" s="28"/>
      <c r="B16" s="245">
        <f>(B12*B13/100*1000)/(B10+B12-B14+B15)*1000</f>
        <v>2857.1428571428573</v>
      </c>
      <c r="C16" s="28" t="s">
        <v>700</v>
      </c>
      <c r="D16" s="28"/>
      <c r="E16" s="28"/>
      <c r="F16" s="28"/>
      <c r="G16" s="28"/>
      <c r="H16" s="28"/>
      <c r="I16" s="242"/>
      <c r="J16" s="28"/>
      <c r="K16" s="28"/>
      <c r="L16" s="28"/>
      <c r="M16" s="28"/>
      <c r="N16" s="28"/>
      <c r="O16" s="28"/>
    </row>
    <row r="17" spans="1:19" ht="15.75" thickBot="1" x14ac:dyDescent="0.3">
      <c r="A17" s="28"/>
      <c r="B17" s="28"/>
      <c r="C17" s="28" t="s">
        <v>705</v>
      </c>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3.8</v>
      </c>
      <c r="C19" s="23">
        <v>7.1</v>
      </c>
      <c r="D19" s="23">
        <v>6.97</v>
      </c>
      <c r="E19" s="23">
        <v>1.1299999999999999</v>
      </c>
      <c r="F19" s="23">
        <v>0.42</v>
      </c>
      <c r="G19" s="23">
        <v>300</v>
      </c>
      <c r="H19" s="23">
        <v>340</v>
      </c>
      <c r="I19" s="33">
        <v>12000000</v>
      </c>
      <c r="J19" s="125">
        <f t="shared" ref="J19:J25" si="0">LOG(I$19)-LOG(I19)</f>
        <v>0</v>
      </c>
      <c r="K19" s="33">
        <v>20000000</v>
      </c>
      <c r="L19" s="23" t="s">
        <v>26</v>
      </c>
      <c r="M19" s="34"/>
      <c r="N19" s="34"/>
      <c r="O19" s="35"/>
      <c r="P19" s="233">
        <f t="shared" ref="P19:P24" si="1">B$16*A19</f>
        <v>0</v>
      </c>
      <c r="Q19" s="233">
        <f>6/LINEST(J19:J24,P19:P24,FALSE)</f>
        <v>669723.15807383542</v>
      </c>
      <c r="R19" s="233">
        <f>Q19/3000</f>
        <v>223.24105269127847</v>
      </c>
      <c r="S19" s="233">
        <f>(J26/LINEST($J19:$J24,$P19:$P24,FALSE))/$B$16</f>
        <v>31.253747376778982</v>
      </c>
    </row>
    <row r="20" spans="1:19" ht="15.75" thickBot="1" x14ac:dyDescent="0.3">
      <c r="A20" s="32">
        <v>3</v>
      </c>
      <c r="B20" s="24">
        <v>4</v>
      </c>
      <c r="C20" s="24">
        <v>10.9</v>
      </c>
      <c r="D20" s="24">
        <v>11.99</v>
      </c>
      <c r="E20" s="24">
        <v>2200</v>
      </c>
      <c r="F20" s="24">
        <v>0.37</v>
      </c>
      <c r="G20" s="24">
        <v>230</v>
      </c>
      <c r="H20" s="24">
        <v>227</v>
      </c>
      <c r="I20" s="33">
        <v>8100000</v>
      </c>
      <c r="J20" s="125">
        <f t="shared" si="0"/>
        <v>0.17069622716897559</v>
      </c>
      <c r="K20" s="33">
        <v>8000000</v>
      </c>
      <c r="L20" s="24">
        <v>0.4</v>
      </c>
      <c r="M20" s="35"/>
      <c r="N20" s="35"/>
      <c r="O20" s="35"/>
      <c r="P20" s="233">
        <f t="shared" si="1"/>
        <v>8571.4285714285725</v>
      </c>
    </row>
    <row r="21" spans="1:19" ht="15.75" thickBot="1" x14ac:dyDescent="0.3">
      <c r="A21" s="32">
        <v>5</v>
      </c>
      <c r="B21" s="24">
        <v>4</v>
      </c>
      <c r="C21" s="24">
        <v>10.94</v>
      </c>
      <c r="D21" s="24">
        <v>11.99</v>
      </c>
      <c r="E21" s="24">
        <v>2500</v>
      </c>
      <c r="F21" s="24">
        <v>0.36</v>
      </c>
      <c r="G21" s="24">
        <v>240</v>
      </c>
      <c r="H21" s="24">
        <v>207</v>
      </c>
      <c r="I21" s="33">
        <v>8300000</v>
      </c>
      <c r="J21" s="125">
        <f t="shared" si="0"/>
        <v>0.16010315367155137</v>
      </c>
      <c r="K21" s="33">
        <v>8500000</v>
      </c>
      <c r="L21" s="24">
        <v>0.37</v>
      </c>
      <c r="M21" s="35"/>
      <c r="N21" s="35"/>
      <c r="O21" s="35"/>
      <c r="P21" s="233">
        <f t="shared" si="1"/>
        <v>14285.714285714286</v>
      </c>
    </row>
    <row r="22" spans="1:19" ht="15.75" thickBot="1" x14ac:dyDescent="0.3">
      <c r="A22" s="32">
        <v>10</v>
      </c>
      <c r="B22" s="24">
        <v>4</v>
      </c>
      <c r="C22" s="24">
        <v>10.92</v>
      </c>
      <c r="D22" s="24">
        <v>11.98</v>
      </c>
      <c r="E22" s="24">
        <v>2500</v>
      </c>
      <c r="F22" s="24">
        <v>0.55000000000000004</v>
      </c>
      <c r="G22" s="24">
        <v>230</v>
      </c>
      <c r="H22" s="24">
        <v>211</v>
      </c>
      <c r="I22" s="33">
        <v>7900000</v>
      </c>
      <c r="J22" s="125">
        <f t="shared" si="0"/>
        <v>0.18155415475718328</v>
      </c>
      <c r="K22" s="33">
        <v>7100000</v>
      </c>
      <c r="L22" s="24">
        <v>0.45</v>
      </c>
      <c r="M22" s="35"/>
      <c r="N22" s="35"/>
      <c r="O22" s="35"/>
      <c r="P22" s="233">
        <f t="shared" si="1"/>
        <v>28571.428571428572</v>
      </c>
    </row>
    <row r="23" spans="1:19" ht="15.75" thickBot="1" x14ac:dyDescent="0.3">
      <c r="A23" s="32">
        <v>15</v>
      </c>
      <c r="B23" s="24">
        <v>4</v>
      </c>
      <c r="C23" s="24">
        <v>10.82</v>
      </c>
      <c r="D23" s="24">
        <v>12</v>
      </c>
      <c r="E23" s="24">
        <v>2600</v>
      </c>
      <c r="F23" s="24">
        <v>0.54</v>
      </c>
      <c r="G23" s="24">
        <v>240</v>
      </c>
      <c r="H23" s="24">
        <v>239</v>
      </c>
      <c r="I23" s="33">
        <v>4500000</v>
      </c>
      <c r="J23" s="125">
        <f t="shared" si="0"/>
        <v>0.42596873227228116</v>
      </c>
      <c r="K23" s="33">
        <v>6800000</v>
      </c>
      <c r="L23" s="24">
        <v>0.47</v>
      </c>
      <c r="M23" s="35"/>
      <c r="N23" s="35"/>
      <c r="O23" s="35"/>
      <c r="P23" s="233">
        <f t="shared" si="1"/>
        <v>42857.142857142862</v>
      </c>
    </row>
    <row r="24" spans="1:19" ht="15.75" thickBot="1" x14ac:dyDescent="0.3">
      <c r="A24" s="32">
        <v>30</v>
      </c>
      <c r="B24" s="24">
        <v>4</v>
      </c>
      <c r="C24" s="24">
        <v>10.82</v>
      </c>
      <c r="D24" s="24">
        <v>12.09</v>
      </c>
      <c r="E24" s="24">
        <v>2600</v>
      </c>
      <c r="F24" s="24">
        <v>0.6</v>
      </c>
      <c r="G24" s="24">
        <v>210</v>
      </c>
      <c r="H24" s="24">
        <v>240</v>
      </c>
      <c r="I24" s="33">
        <v>2100000</v>
      </c>
      <c r="J24" s="125">
        <f t="shared" si="0"/>
        <v>0.75696195131370558</v>
      </c>
      <c r="K24" s="33">
        <v>1400000</v>
      </c>
      <c r="L24" s="24">
        <v>1.1499999999999999</v>
      </c>
      <c r="M24" s="36">
        <v>43</v>
      </c>
      <c r="N24" s="36">
        <v>6753</v>
      </c>
      <c r="O24" s="36">
        <v>1927</v>
      </c>
      <c r="P24" s="233">
        <f t="shared" si="1"/>
        <v>85714.285714285725</v>
      </c>
    </row>
    <row r="25" spans="1:19" ht="15.75" thickBot="1" x14ac:dyDescent="0.3">
      <c r="A25" s="76" t="s">
        <v>52</v>
      </c>
      <c r="B25" s="77">
        <v>4</v>
      </c>
      <c r="C25" s="77">
        <v>10.82</v>
      </c>
      <c r="D25" s="77">
        <v>12.12</v>
      </c>
      <c r="E25" s="77">
        <v>2400</v>
      </c>
      <c r="F25" s="78">
        <v>0.28000000000000003</v>
      </c>
      <c r="G25" s="77">
        <v>200</v>
      </c>
      <c r="H25" s="77">
        <v>209</v>
      </c>
      <c r="I25" s="33">
        <v>1800000</v>
      </c>
      <c r="J25" s="125">
        <f t="shared" si="0"/>
        <v>0.82390874094431865</v>
      </c>
      <c r="K25" s="33">
        <v>2100000</v>
      </c>
      <c r="L25" s="77">
        <v>0.98</v>
      </c>
      <c r="M25" s="36">
        <v>42</v>
      </c>
      <c r="N25" s="36">
        <v>6867</v>
      </c>
      <c r="O25" s="27"/>
      <c r="P25" s="233"/>
    </row>
    <row r="26" spans="1:19" x14ac:dyDescent="0.25">
      <c r="A26" s="28"/>
      <c r="B26" s="28">
        <f>AVERAGE(B20:B24)</f>
        <v>4</v>
      </c>
      <c r="C26" s="28">
        <f>AVERAGE(C20:C24)</f>
        <v>10.879999999999999</v>
      </c>
      <c r="D26" s="28"/>
      <c r="E26" s="28"/>
      <c r="F26" s="28"/>
      <c r="G26" s="28"/>
      <c r="H26" s="28"/>
      <c r="I26" s="29"/>
      <c r="J26" s="28">
        <v>0.8</v>
      </c>
      <c r="K26" s="28"/>
      <c r="L26" s="28"/>
      <c r="M26" s="28"/>
      <c r="N26" s="28"/>
      <c r="O26" s="28"/>
    </row>
    <row r="27" spans="1:19" x14ac:dyDescent="0.25">
      <c r="A27" s="28" t="s">
        <v>140</v>
      </c>
      <c r="B27" s="8"/>
      <c r="C27" s="8"/>
      <c r="D27" s="8"/>
      <c r="E27" s="8"/>
      <c r="F27" s="8"/>
      <c r="G27" s="8"/>
      <c r="H27" s="8"/>
      <c r="I27" s="25"/>
      <c r="J27" s="8"/>
      <c r="K27" s="8"/>
      <c r="L27" s="8"/>
      <c r="M27" s="8"/>
      <c r="N27" s="28"/>
      <c r="O27" s="8"/>
    </row>
    <row r="28" spans="1:19" x14ac:dyDescent="0.25">
      <c r="A28" s="28"/>
      <c r="B28" s="28" t="s">
        <v>141</v>
      </c>
      <c r="C28" s="8"/>
      <c r="D28" s="8"/>
      <c r="E28" s="8"/>
      <c r="F28" s="8"/>
      <c r="G28" s="8"/>
      <c r="H28" s="8"/>
      <c r="I28" s="25"/>
      <c r="J28" s="8"/>
      <c r="K28" s="8"/>
      <c r="L28" s="8"/>
      <c r="M28" s="8"/>
      <c r="N28" s="28"/>
      <c r="O28" s="8"/>
    </row>
    <row r="29" spans="1:19" x14ac:dyDescent="0.25">
      <c r="A29" s="28" t="s">
        <v>205</v>
      </c>
      <c r="B29" s="28"/>
      <c r="C29" s="28"/>
      <c r="D29" s="28"/>
      <c r="E29" s="28"/>
      <c r="F29" s="28"/>
      <c r="G29" s="28"/>
      <c r="H29" s="28"/>
      <c r="I29" s="29"/>
      <c r="J29" s="28" t="s">
        <v>34</v>
      </c>
      <c r="K29" s="28"/>
      <c r="L29" s="28" t="s">
        <v>34</v>
      </c>
      <c r="M29" s="28"/>
      <c r="N29" s="28" t="s">
        <v>34</v>
      </c>
      <c r="O29" s="28"/>
    </row>
    <row r="30" spans="1:19" x14ac:dyDescent="0.25">
      <c r="A30" s="59"/>
      <c r="F30" s="28"/>
      <c r="G30" s="28"/>
      <c r="H30" s="28"/>
      <c r="I30" s="29"/>
      <c r="J30" s="28"/>
      <c r="K30" s="28"/>
      <c r="L30" s="28" t="s">
        <v>34</v>
      </c>
      <c r="M30" s="28" t="s">
        <v>34</v>
      </c>
      <c r="N30" s="28"/>
      <c r="O30" s="28"/>
    </row>
    <row r="31" spans="1:19" x14ac:dyDescent="0.25">
      <c r="A31" s="19" t="s">
        <v>28</v>
      </c>
      <c r="B31" s="28"/>
      <c r="C31" s="28"/>
      <c r="D31" s="28"/>
      <c r="E31" s="28"/>
      <c r="F31" s="28"/>
      <c r="G31" s="28"/>
      <c r="H31" s="28"/>
      <c r="I31" s="29"/>
      <c r="J31" s="28"/>
      <c r="K31" s="28" t="s">
        <v>34</v>
      </c>
      <c r="L31" s="28"/>
      <c r="M31" s="28" t="s">
        <v>34</v>
      </c>
      <c r="N31" s="28"/>
      <c r="O31" s="28"/>
    </row>
    <row r="32" spans="1:19" x14ac:dyDescent="0.25">
      <c r="A32" s="28"/>
      <c r="B32" s="22"/>
      <c r="C32" s="28"/>
      <c r="D32" s="28"/>
      <c r="E32" s="28"/>
      <c r="F32" s="28"/>
      <c r="G32" s="28"/>
      <c r="H32" s="28"/>
      <c r="I32" s="29"/>
      <c r="J32" s="28"/>
      <c r="K32" s="28"/>
      <c r="L32" s="28"/>
      <c r="M32" s="28" t="s">
        <v>34</v>
      </c>
      <c r="N32" s="28"/>
      <c r="O32" s="28"/>
    </row>
    <row r="33" spans="1:15" x14ac:dyDescent="0.25">
      <c r="A33" s="28"/>
      <c r="B33" s="41" t="s">
        <v>228</v>
      </c>
      <c r="C33" s="41"/>
      <c r="D33" s="41"/>
      <c r="E33" s="41"/>
      <c r="F33" s="41"/>
      <c r="G33" s="41"/>
      <c r="H33" s="41"/>
      <c r="I33" s="41"/>
      <c r="J33" s="41"/>
      <c r="K33" s="41"/>
      <c r="L33" s="41"/>
      <c r="M33" s="28"/>
      <c r="N33" s="28"/>
      <c r="O33" s="28"/>
    </row>
    <row r="34" spans="1:15" x14ac:dyDescent="0.25">
      <c r="A34" s="28"/>
      <c r="B34" s="41" t="s">
        <v>172</v>
      </c>
      <c r="C34" s="41"/>
      <c r="D34" s="41"/>
      <c r="E34" s="41"/>
      <c r="F34" s="41"/>
      <c r="G34" s="41"/>
      <c r="H34" s="41"/>
      <c r="I34" s="41"/>
      <c r="J34" s="41"/>
      <c r="K34" s="41"/>
      <c r="L34" s="41"/>
      <c r="M34" s="28"/>
      <c r="N34" s="28"/>
      <c r="O34" s="28"/>
    </row>
    <row r="35" spans="1:15" x14ac:dyDescent="0.25">
      <c r="A35" s="28"/>
      <c r="B35" s="22" t="s">
        <v>146</v>
      </c>
      <c r="C35" s="8"/>
      <c r="D35" s="8"/>
      <c r="E35" s="8"/>
      <c r="F35" s="8"/>
      <c r="G35" s="8"/>
      <c r="H35" s="8"/>
      <c r="I35" s="25"/>
      <c r="J35" s="8"/>
      <c r="K35" s="8"/>
      <c r="L35" s="28"/>
      <c r="M35" s="28"/>
      <c r="N35" s="28"/>
      <c r="O35" s="28"/>
    </row>
    <row r="36" spans="1:15" x14ac:dyDescent="0.25">
      <c r="A36" s="28"/>
      <c r="B36" s="41" t="s">
        <v>222</v>
      </c>
      <c r="M36" s="28"/>
      <c r="N36" s="28"/>
      <c r="O36" s="28"/>
    </row>
    <row r="37" spans="1:15" x14ac:dyDescent="0.25">
      <c r="A37" s="28"/>
      <c r="B37" s="41" t="s">
        <v>223</v>
      </c>
      <c r="M37" s="28"/>
      <c r="N37" s="28"/>
      <c r="O37" s="28"/>
    </row>
    <row r="38" spans="1:15" x14ac:dyDescent="0.25">
      <c r="A38" s="28"/>
      <c r="B38" s="69" t="s">
        <v>227</v>
      </c>
      <c r="C38" s="70"/>
      <c r="D38" s="70"/>
      <c r="E38" s="70"/>
      <c r="F38" s="70"/>
      <c r="G38" s="70"/>
      <c r="H38" s="70"/>
      <c r="I38" s="71"/>
      <c r="J38" s="70"/>
      <c r="K38" s="70"/>
      <c r="L38" s="28"/>
      <c r="M38" s="28"/>
      <c r="N38" s="28"/>
      <c r="O38" s="28"/>
    </row>
    <row r="39" spans="1:15" x14ac:dyDescent="0.25">
      <c r="A39" s="28"/>
      <c r="B39" s="79" t="s">
        <v>207</v>
      </c>
      <c r="C39" s="72"/>
      <c r="D39" s="72"/>
      <c r="E39" s="72"/>
      <c r="F39" s="72"/>
      <c r="G39" s="72"/>
      <c r="H39" s="72"/>
      <c r="I39" s="72"/>
      <c r="J39" s="72"/>
      <c r="K39" s="72"/>
      <c r="N39" s="28"/>
      <c r="O39" s="28"/>
    </row>
    <row r="40" spans="1:15" x14ac:dyDescent="0.25">
      <c r="A40" s="28"/>
      <c r="B40" s="75" t="s">
        <v>36</v>
      </c>
      <c r="C40" s="8"/>
      <c r="D40" s="8"/>
      <c r="E40" s="8"/>
      <c r="F40" s="8"/>
      <c r="G40" s="8"/>
      <c r="H40" s="8"/>
      <c r="I40" s="25"/>
      <c r="J40" s="8"/>
      <c r="K40" s="8"/>
      <c r="L40" s="28"/>
      <c r="N40" s="28"/>
      <c r="O40" s="28"/>
    </row>
    <row r="41" spans="1:15" x14ac:dyDescent="0.25">
      <c r="A41" s="28"/>
      <c r="B41" s="22" t="s">
        <v>133</v>
      </c>
      <c r="L41" s="28"/>
      <c r="N41" s="28"/>
      <c r="O41" s="28"/>
    </row>
    <row r="42" spans="1:15" x14ac:dyDescent="0.25">
      <c r="A42" s="28"/>
      <c r="B42" s="22" t="s">
        <v>208</v>
      </c>
      <c r="L42" s="28"/>
      <c r="M42" s="28"/>
      <c r="N42" s="28"/>
      <c r="O42" s="28" t="s">
        <v>34</v>
      </c>
    </row>
    <row r="43" spans="1:15" x14ac:dyDescent="0.25">
      <c r="M43" s="28"/>
      <c r="N43" s="28"/>
      <c r="O43" s="28"/>
    </row>
    <row r="44" spans="1:15" x14ac:dyDescent="0.25">
      <c r="B44" s="41" t="s">
        <v>229</v>
      </c>
      <c r="C44" s="64"/>
      <c r="D44" s="64"/>
      <c r="E44" s="64"/>
      <c r="F44" s="64"/>
      <c r="G44" s="64"/>
      <c r="H44" s="64"/>
      <c r="I44" s="64"/>
      <c r="J44" s="64"/>
      <c r="K44" s="64"/>
      <c r="L44" s="65"/>
      <c r="N44" s="28"/>
      <c r="O44" s="28"/>
    </row>
    <row r="45" spans="1:15" x14ac:dyDescent="0.25">
      <c r="B45" s="22" t="s">
        <v>209</v>
      </c>
      <c r="C45" s="8"/>
      <c r="D45" s="8"/>
      <c r="E45" s="8"/>
      <c r="F45" s="8"/>
      <c r="G45" s="8"/>
      <c r="H45" s="8"/>
      <c r="I45" s="25"/>
      <c r="J45" s="8"/>
      <c r="K45" s="8"/>
      <c r="L45" s="28"/>
    </row>
    <row r="47" spans="1:15" x14ac:dyDescent="0.25">
      <c r="B47" s="41" t="s">
        <v>154</v>
      </c>
      <c r="C47" s="41"/>
      <c r="D47" s="41"/>
      <c r="E47" s="41"/>
      <c r="F47" s="41"/>
      <c r="G47" s="41"/>
      <c r="H47" s="41"/>
      <c r="I47" s="41"/>
      <c r="J47" s="41"/>
      <c r="K47" s="41"/>
    </row>
    <row r="48" spans="1:15" x14ac:dyDescent="0.25">
      <c r="B48" s="41" t="s">
        <v>155</v>
      </c>
      <c r="C48" s="41"/>
      <c r="D48" s="41"/>
      <c r="E48" s="41"/>
      <c r="F48" s="41"/>
      <c r="G48" s="41"/>
      <c r="H48" s="41"/>
      <c r="I48" s="41"/>
      <c r="J48" s="41"/>
      <c r="K48" s="41"/>
    </row>
    <row r="49" spans="2:11" x14ac:dyDescent="0.25">
      <c r="B49" s="22" t="s">
        <v>157</v>
      </c>
      <c r="C49" s="28"/>
      <c r="D49" s="28"/>
      <c r="E49" s="28"/>
      <c r="F49" s="28"/>
      <c r="G49" s="28"/>
      <c r="H49" s="29"/>
      <c r="I49" s="28"/>
      <c r="J49" s="41"/>
      <c r="K49" s="28"/>
    </row>
  </sheetData>
  <pageMargins left="0.7" right="0.7" top="0.75" bottom="0.75" header="0.3" footer="0.3"/>
  <pageSetup scale="65" orientation="landscape" verticalDpi="597"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0" tint="-0.499984740745262"/>
    <pageSetUpPr fitToPage="1"/>
  </sheetPr>
  <dimension ref="A6:S50"/>
  <sheetViews>
    <sheetView zoomScale="90" zoomScaleNormal="90" workbookViewId="0"/>
  </sheetViews>
  <sheetFormatPr defaultRowHeight="15" x14ac:dyDescent="0.25"/>
  <cols>
    <col min="1" max="1" width="8" customWidth="1"/>
    <col min="2" max="2" width="10" customWidth="1"/>
    <col min="3" max="3" width="6.85546875" customWidth="1"/>
    <col min="5" max="5" width="7.7109375" customWidth="1"/>
    <col min="7" max="7" width="9.140625" customWidth="1"/>
    <col min="8" max="8" width="7.28515625" customWidth="1"/>
    <col min="10" max="10" width="6.5703125" customWidth="1"/>
    <col min="12" max="12" width="7" customWidth="1"/>
    <col min="13" max="14" width="7.42578125"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40966</v>
      </c>
    </row>
    <row r="8" spans="1:15" x14ac:dyDescent="0.25">
      <c r="A8" s="28" t="s">
        <v>14</v>
      </c>
      <c r="B8" s="28">
        <v>16</v>
      </c>
      <c r="C8" s="28" t="s">
        <v>486</v>
      </c>
      <c r="D8" s="28"/>
      <c r="E8" s="28"/>
      <c r="F8" s="28"/>
      <c r="G8" s="28"/>
      <c r="H8" s="28"/>
      <c r="I8" s="29"/>
      <c r="J8" s="28"/>
      <c r="K8" s="28" t="s">
        <v>34</v>
      </c>
      <c r="L8" s="28" t="s">
        <v>34</v>
      </c>
      <c r="M8" s="28"/>
      <c r="N8" s="28"/>
      <c r="O8" s="28"/>
    </row>
    <row r="9" spans="1:15" x14ac:dyDescent="0.25">
      <c r="A9" s="8" t="s">
        <v>15</v>
      </c>
      <c r="B9" s="8">
        <v>11</v>
      </c>
      <c r="C9" s="28" t="s">
        <v>192</v>
      </c>
      <c r="D9" s="8"/>
      <c r="E9" s="8"/>
      <c r="F9" s="8"/>
      <c r="G9" s="8"/>
      <c r="H9" s="8"/>
      <c r="I9" s="25"/>
      <c r="J9" s="8"/>
      <c r="K9" s="8"/>
      <c r="L9" s="8"/>
      <c r="M9" s="8"/>
      <c r="N9" s="8"/>
      <c r="O9" s="8"/>
    </row>
    <row r="10" spans="1:15" x14ac:dyDescent="0.25">
      <c r="A10" s="28" t="s">
        <v>16</v>
      </c>
      <c r="B10" s="87">
        <v>2000</v>
      </c>
      <c r="C10" s="31" t="s">
        <v>195</v>
      </c>
      <c r="D10" s="28"/>
      <c r="E10" s="28"/>
      <c r="F10" s="28"/>
      <c r="G10" s="28"/>
      <c r="H10" s="28"/>
      <c r="I10" s="29" t="s">
        <v>34</v>
      </c>
      <c r="J10" s="28" t="s">
        <v>34</v>
      </c>
      <c r="K10" s="28" t="s">
        <v>34</v>
      </c>
      <c r="L10" s="28" t="s">
        <v>34</v>
      </c>
      <c r="M10" s="28" t="s">
        <v>34</v>
      </c>
      <c r="N10" s="28" t="s">
        <v>34</v>
      </c>
      <c r="O10" s="28"/>
    </row>
    <row r="11" spans="1:15" x14ac:dyDescent="0.25">
      <c r="A11" s="28"/>
      <c r="B11" s="243">
        <v>200000000</v>
      </c>
      <c r="C11" s="31" t="s">
        <v>717</v>
      </c>
      <c r="D11" s="28"/>
      <c r="E11" s="28"/>
      <c r="F11" s="28"/>
      <c r="G11" s="28"/>
      <c r="H11" s="28"/>
      <c r="I11" s="29"/>
      <c r="J11" s="28"/>
      <c r="K11" s="28" t="s">
        <v>34</v>
      </c>
      <c r="L11" s="28"/>
      <c r="M11" s="28"/>
      <c r="N11" s="28"/>
      <c r="O11" s="28"/>
    </row>
    <row r="12" spans="1:15" x14ac:dyDescent="0.25">
      <c r="A12" s="28"/>
      <c r="B12" s="87">
        <v>95</v>
      </c>
      <c r="C12" s="31" t="s">
        <v>701</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42"/>
      <c r="J13" s="28"/>
      <c r="K13" s="28"/>
      <c r="L13" s="28"/>
      <c r="M13" s="28"/>
      <c r="N13" s="28"/>
      <c r="O13" s="28"/>
    </row>
    <row r="14" spans="1:15" x14ac:dyDescent="0.25">
      <c r="A14" s="28"/>
      <c r="B14" s="31">
        <v>100</v>
      </c>
      <c r="C14" s="87" t="s">
        <v>696</v>
      </c>
      <c r="D14" s="28"/>
      <c r="E14" s="28"/>
      <c r="F14" s="28"/>
      <c r="G14" s="28"/>
      <c r="H14" s="28"/>
      <c r="I14" s="242"/>
      <c r="J14" s="28"/>
      <c r="K14" s="28"/>
      <c r="L14" s="28"/>
      <c r="M14" s="28"/>
      <c r="N14" s="28"/>
      <c r="O14" s="28"/>
    </row>
    <row r="15" spans="1:15" x14ac:dyDescent="0.25">
      <c r="A15" s="28"/>
      <c r="B15" s="31">
        <v>0</v>
      </c>
      <c r="C15" s="87" t="s">
        <v>698</v>
      </c>
      <c r="D15" s="28"/>
      <c r="E15" s="28"/>
      <c r="F15" s="28"/>
      <c r="G15" s="28"/>
      <c r="H15" s="28"/>
      <c r="I15" s="242"/>
      <c r="J15" s="28"/>
      <c r="K15" s="28"/>
      <c r="L15" s="28"/>
      <c r="M15" s="28"/>
      <c r="N15" s="28"/>
      <c r="O15" s="28"/>
    </row>
    <row r="16" spans="1:15" x14ac:dyDescent="0.25">
      <c r="A16" s="28"/>
      <c r="B16" s="232">
        <f>(B12*B13/100*1000)/(B10+B12-B14+B15)*1000</f>
        <v>2857.1428571428573</v>
      </c>
      <c r="C16" s="28" t="s">
        <v>700</v>
      </c>
      <c r="D16" s="28"/>
      <c r="E16" s="28"/>
      <c r="F16" s="28"/>
      <c r="G16" s="28"/>
      <c r="H16" s="28"/>
      <c r="I16" s="242"/>
      <c r="J16" s="28"/>
      <c r="K16" s="28"/>
      <c r="L16" s="28"/>
      <c r="M16" s="28"/>
      <c r="N16" s="28"/>
      <c r="O16" s="28"/>
    </row>
    <row r="17" spans="1:19" ht="15.75" thickBot="1" x14ac:dyDescent="0.3">
      <c r="A17" s="28"/>
      <c r="B17" s="28"/>
      <c r="C17" s="28" t="s">
        <v>705</v>
      </c>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22.5</v>
      </c>
      <c r="C19" s="23">
        <v>7.4</v>
      </c>
      <c r="D19" s="23">
        <v>8.35</v>
      </c>
      <c r="E19" s="23">
        <v>0.39</v>
      </c>
      <c r="F19" s="23">
        <v>1.0900000000000001</v>
      </c>
      <c r="G19" s="23">
        <v>150</v>
      </c>
      <c r="H19" s="23">
        <v>275</v>
      </c>
      <c r="I19" s="33">
        <v>11000000</v>
      </c>
      <c r="J19" s="125">
        <f t="shared" ref="J19:J25" si="0">LOG(I$19)-LOG(I19)</f>
        <v>0</v>
      </c>
      <c r="K19" s="33">
        <v>74000000</v>
      </c>
      <c r="L19" s="23" t="s">
        <v>26</v>
      </c>
      <c r="M19" s="34"/>
      <c r="N19" s="34"/>
      <c r="O19" s="35"/>
      <c r="P19" s="233">
        <f t="shared" ref="P19:P24" si="1">B$16*A19</f>
        <v>0</v>
      </c>
      <c r="Q19" s="233">
        <f>6/LINEST(J19:J24,P19:P24,FALSE)</f>
        <v>119699.88175034501</v>
      </c>
      <c r="R19" s="233">
        <f>Q19/3000</f>
        <v>39.89996058344834</v>
      </c>
      <c r="S19" s="233">
        <f>(J26/LINEST($J19:$J24,$P19:$P24,FALSE))/$B$16</f>
        <v>30.722969649255223</v>
      </c>
    </row>
    <row r="20" spans="1:19" ht="15.75" thickBot="1" x14ac:dyDescent="0.3">
      <c r="A20" s="32">
        <v>3</v>
      </c>
      <c r="B20" s="24">
        <v>22.5</v>
      </c>
      <c r="C20" s="24">
        <v>10.63</v>
      </c>
      <c r="D20" s="24">
        <v>11.27</v>
      </c>
      <c r="E20" s="24">
        <v>3000</v>
      </c>
      <c r="F20" s="24">
        <v>0.56000000000000005</v>
      </c>
      <c r="G20" s="24">
        <v>140</v>
      </c>
      <c r="H20" s="24">
        <v>255</v>
      </c>
      <c r="I20" s="33">
        <v>6900000</v>
      </c>
      <c r="J20" s="125">
        <f t="shared" si="0"/>
        <v>0.2025435944209697</v>
      </c>
      <c r="K20" s="33">
        <v>7900000</v>
      </c>
      <c r="L20" s="24">
        <v>0.96</v>
      </c>
      <c r="M20" s="35"/>
      <c r="N20" s="35"/>
      <c r="O20" s="35"/>
      <c r="P20" s="233">
        <f t="shared" si="1"/>
        <v>8571.4285714285725</v>
      </c>
    </row>
    <row r="21" spans="1:19" ht="15.75" thickBot="1" x14ac:dyDescent="0.3">
      <c r="A21" s="32">
        <v>5</v>
      </c>
      <c r="B21" s="24">
        <v>22.5</v>
      </c>
      <c r="C21" s="24">
        <v>10.6</v>
      </c>
      <c r="D21" s="24">
        <v>11.2</v>
      </c>
      <c r="E21" s="24">
        <v>3300</v>
      </c>
      <c r="F21" s="24">
        <v>0.48</v>
      </c>
      <c r="G21" s="24">
        <v>150</v>
      </c>
      <c r="H21" s="24">
        <v>211</v>
      </c>
      <c r="I21" s="33">
        <v>6100000</v>
      </c>
      <c r="J21" s="125">
        <f t="shared" si="0"/>
        <v>0.25606285014745822</v>
      </c>
      <c r="K21" s="33">
        <v>8100000</v>
      </c>
      <c r="L21" s="24">
        <v>0.95</v>
      </c>
      <c r="M21" s="35"/>
      <c r="N21" s="35"/>
      <c r="O21" s="35"/>
      <c r="P21" s="233">
        <f t="shared" si="1"/>
        <v>14285.714285714286</v>
      </c>
    </row>
    <row r="22" spans="1:19" ht="15.75" thickBot="1" x14ac:dyDescent="0.3">
      <c r="A22" s="32">
        <v>10</v>
      </c>
      <c r="B22" s="24">
        <v>22.6</v>
      </c>
      <c r="C22" s="24">
        <v>10.55</v>
      </c>
      <c r="D22" s="24">
        <v>11.22</v>
      </c>
      <c r="E22" s="24">
        <v>3200</v>
      </c>
      <c r="F22" s="24">
        <v>0.54</v>
      </c>
      <c r="G22" s="24">
        <v>150</v>
      </c>
      <c r="H22" s="24">
        <v>248</v>
      </c>
      <c r="I22" s="33">
        <v>2200000</v>
      </c>
      <c r="J22" s="125">
        <f t="shared" si="0"/>
        <v>0.69897000433601875</v>
      </c>
      <c r="K22" s="33">
        <v>2800000</v>
      </c>
      <c r="L22" s="24">
        <v>1.41</v>
      </c>
      <c r="M22" s="35"/>
      <c r="N22" s="35"/>
      <c r="O22" s="35"/>
      <c r="P22" s="233">
        <f t="shared" si="1"/>
        <v>28571.428571428572</v>
      </c>
    </row>
    <row r="23" spans="1:19" ht="15.75" thickBot="1" x14ac:dyDescent="0.3">
      <c r="A23" s="32">
        <v>15</v>
      </c>
      <c r="B23" s="24">
        <v>22.7</v>
      </c>
      <c r="C23" s="24">
        <v>10.52</v>
      </c>
      <c r="D23" s="24">
        <v>11.22</v>
      </c>
      <c r="E23" s="24">
        <v>3200</v>
      </c>
      <c r="F23" s="24">
        <v>0.49</v>
      </c>
      <c r="G23" s="24">
        <v>160</v>
      </c>
      <c r="H23" s="24">
        <v>291</v>
      </c>
      <c r="I23" s="33">
        <v>31000</v>
      </c>
      <c r="J23" s="125">
        <f t="shared" si="0"/>
        <v>2.5500309913239523</v>
      </c>
      <c r="K23" s="33">
        <v>40000</v>
      </c>
      <c r="L23" s="24">
        <v>3.24</v>
      </c>
      <c r="M23" s="35"/>
      <c r="N23" s="35"/>
      <c r="O23" s="35"/>
      <c r="P23" s="233">
        <f t="shared" si="1"/>
        <v>42857.142857142862</v>
      </c>
    </row>
    <row r="24" spans="1:19" ht="15.75" thickBot="1" x14ac:dyDescent="0.3">
      <c r="A24" s="32">
        <v>30</v>
      </c>
      <c r="B24" s="24">
        <v>22.9</v>
      </c>
      <c r="C24" s="24">
        <v>10.42</v>
      </c>
      <c r="D24" s="24">
        <v>11.31</v>
      </c>
      <c r="E24" s="24">
        <v>3200</v>
      </c>
      <c r="F24" s="24">
        <v>0.49</v>
      </c>
      <c r="G24" s="24">
        <v>180</v>
      </c>
      <c r="H24" s="24">
        <v>263</v>
      </c>
      <c r="I24" s="33">
        <v>400</v>
      </c>
      <c r="J24" s="125">
        <f t="shared" si="0"/>
        <v>4.4393326938302629</v>
      </c>
      <c r="K24" s="33">
        <v>0</v>
      </c>
      <c r="L24" s="24" t="s">
        <v>196</v>
      </c>
      <c r="M24" s="36">
        <v>48</v>
      </c>
      <c r="N24" s="36">
        <v>6760</v>
      </c>
      <c r="O24" s="36">
        <v>2600</v>
      </c>
      <c r="P24" s="233">
        <f t="shared" si="1"/>
        <v>85714.285714285725</v>
      </c>
    </row>
    <row r="25" spans="1:19" s="83" customFormat="1" ht="15.75" thickBot="1" x14ac:dyDescent="0.3">
      <c r="A25" s="76" t="s">
        <v>52</v>
      </c>
      <c r="B25" s="77">
        <v>23</v>
      </c>
      <c r="C25" s="77">
        <v>10.41</v>
      </c>
      <c r="D25" s="77">
        <v>11.34</v>
      </c>
      <c r="E25" s="77">
        <v>3400</v>
      </c>
      <c r="F25" s="78">
        <v>0.44</v>
      </c>
      <c r="G25" s="77">
        <v>170</v>
      </c>
      <c r="H25" s="77">
        <v>259</v>
      </c>
      <c r="I25" s="33">
        <v>50</v>
      </c>
      <c r="J25" s="125">
        <f t="shared" si="0"/>
        <v>5.3424226808222066</v>
      </c>
      <c r="K25" s="33">
        <v>0</v>
      </c>
      <c r="L25" s="77" t="s">
        <v>196</v>
      </c>
      <c r="M25" s="36">
        <v>50</v>
      </c>
      <c r="N25" s="36">
        <v>6860</v>
      </c>
      <c r="O25" s="27"/>
      <c r="P25" s="233"/>
      <c r="Q25"/>
      <c r="R25"/>
    </row>
    <row r="26" spans="1:19" ht="15.75" thickBot="1" x14ac:dyDescent="0.3">
      <c r="A26" s="28"/>
      <c r="B26" s="28">
        <f>AVERAGE(B20:B23)</f>
        <v>22.574999999999999</v>
      </c>
      <c r="C26" s="28">
        <f>AVERAGE(C20:C23)</f>
        <v>10.574999999999999</v>
      </c>
      <c r="D26" s="28"/>
      <c r="E26" s="28"/>
      <c r="F26" s="28"/>
      <c r="G26" s="28"/>
      <c r="H26" s="28"/>
      <c r="I26" s="29"/>
      <c r="J26" s="28">
        <v>4.4000000000000004</v>
      </c>
      <c r="K26" s="28"/>
      <c r="L26" s="28"/>
      <c r="M26" s="28"/>
      <c r="N26" s="28"/>
      <c r="O26" s="28"/>
      <c r="P26" s="233"/>
    </row>
    <row r="27" spans="1:19" x14ac:dyDescent="0.25">
      <c r="A27" s="28" t="s">
        <v>140</v>
      </c>
      <c r="B27" s="8"/>
      <c r="C27" s="8"/>
      <c r="D27" s="8"/>
      <c r="E27" s="8"/>
      <c r="F27" s="8"/>
      <c r="G27" s="8"/>
      <c r="H27" s="8"/>
      <c r="I27" s="25"/>
      <c r="J27" s="8"/>
      <c r="K27" s="8"/>
      <c r="L27" s="8"/>
      <c r="M27" s="8"/>
      <c r="N27" s="28"/>
      <c r="O27" s="8"/>
    </row>
    <row r="28" spans="1:19" x14ac:dyDescent="0.25">
      <c r="A28" s="28"/>
      <c r="B28" s="28" t="s">
        <v>141</v>
      </c>
      <c r="C28" s="8"/>
      <c r="D28" s="8"/>
      <c r="E28" s="8"/>
      <c r="F28" s="8"/>
      <c r="G28" s="8"/>
      <c r="H28" s="8"/>
      <c r="I28" s="25"/>
      <c r="J28" s="8"/>
      <c r="K28" s="8"/>
      <c r="L28" s="8"/>
      <c r="M28" s="8"/>
      <c r="N28" s="28"/>
      <c r="O28" s="8"/>
    </row>
    <row r="29" spans="1:19" x14ac:dyDescent="0.25">
      <c r="A29" s="28" t="s">
        <v>53</v>
      </c>
      <c r="B29" s="28"/>
      <c r="C29" s="28"/>
      <c r="D29" s="28"/>
      <c r="E29" s="28"/>
      <c r="F29" s="28"/>
      <c r="G29" s="28"/>
      <c r="H29" s="28"/>
      <c r="I29" s="29"/>
      <c r="J29" s="28" t="s">
        <v>34</v>
      </c>
      <c r="K29" s="28"/>
      <c r="L29" s="28" t="s">
        <v>34</v>
      </c>
      <c r="M29" s="28"/>
      <c r="N29" s="28" t="s">
        <v>34</v>
      </c>
      <c r="O29" s="28"/>
    </row>
    <row r="30" spans="1:19" x14ac:dyDescent="0.25">
      <c r="A30" s="59"/>
      <c r="F30" s="28"/>
      <c r="G30" s="28"/>
      <c r="H30" s="28"/>
      <c r="I30" s="29"/>
      <c r="J30" s="28"/>
      <c r="K30" s="28"/>
      <c r="L30" s="28" t="s">
        <v>34</v>
      </c>
      <c r="M30" s="28" t="s">
        <v>34</v>
      </c>
      <c r="N30" s="28"/>
      <c r="O30" s="28"/>
    </row>
    <row r="31" spans="1:19" x14ac:dyDescent="0.25">
      <c r="A31" s="19" t="s">
        <v>28</v>
      </c>
      <c r="B31" s="28"/>
      <c r="C31" s="28"/>
      <c r="D31" s="28"/>
      <c r="E31" s="28"/>
      <c r="F31" s="28"/>
      <c r="G31" s="28"/>
      <c r="H31" s="28"/>
      <c r="I31" s="29"/>
      <c r="J31" s="28"/>
      <c r="K31" s="28" t="s">
        <v>34</v>
      </c>
      <c r="L31" s="28"/>
      <c r="M31" s="28" t="s">
        <v>34</v>
      </c>
      <c r="N31" s="28"/>
      <c r="O31" s="28"/>
    </row>
    <row r="32" spans="1:19" x14ac:dyDescent="0.25">
      <c r="A32" s="28"/>
      <c r="B32" s="22"/>
      <c r="C32" s="28"/>
      <c r="D32" s="28"/>
      <c r="E32" s="28"/>
      <c r="F32" s="28"/>
      <c r="G32" s="28"/>
      <c r="H32" s="28"/>
      <c r="I32" s="29"/>
      <c r="J32" s="28"/>
      <c r="K32" s="28"/>
      <c r="L32" s="28"/>
      <c r="M32" s="28" t="s">
        <v>34</v>
      </c>
      <c r="N32" s="28"/>
      <c r="O32" s="28"/>
    </row>
    <row r="33" spans="1:15" x14ac:dyDescent="0.25">
      <c r="A33" s="28"/>
      <c r="B33" s="41" t="s">
        <v>233</v>
      </c>
      <c r="C33" s="41"/>
      <c r="D33" s="41"/>
      <c r="E33" s="41"/>
      <c r="F33" s="41"/>
      <c r="G33" s="41"/>
      <c r="H33" s="41"/>
      <c r="I33" s="41"/>
      <c r="J33" s="41"/>
      <c r="K33" s="41"/>
      <c r="L33" s="41"/>
      <c r="M33" s="28"/>
      <c r="N33" s="28"/>
      <c r="O33" s="28"/>
    </row>
    <row r="34" spans="1:15" x14ac:dyDescent="0.25">
      <c r="A34" s="28"/>
      <c r="B34" s="41"/>
      <c r="C34" s="41"/>
      <c r="D34" s="41"/>
      <c r="E34" s="41"/>
      <c r="F34" s="41"/>
      <c r="G34" s="41"/>
      <c r="H34" s="41"/>
      <c r="I34" s="41"/>
      <c r="J34" s="41"/>
      <c r="K34" s="41"/>
      <c r="L34" s="41"/>
      <c r="M34" s="28"/>
      <c r="N34" s="28"/>
      <c r="O34" s="28"/>
    </row>
    <row r="35" spans="1:15" x14ac:dyDescent="0.25">
      <c r="A35" s="28"/>
      <c r="B35" s="22" t="s">
        <v>146</v>
      </c>
      <c r="C35" s="8"/>
      <c r="D35" s="8"/>
      <c r="E35" s="8"/>
      <c r="F35" s="8"/>
      <c r="G35" s="8"/>
      <c r="H35" s="8"/>
      <c r="I35" s="25"/>
      <c r="J35" s="8"/>
      <c r="K35" s="8"/>
      <c r="L35" s="28"/>
      <c r="M35" s="28"/>
      <c r="N35" s="28"/>
      <c r="O35" s="28"/>
    </row>
    <row r="36" spans="1:15" x14ac:dyDescent="0.25">
      <c r="A36" s="28"/>
      <c r="B36" s="41" t="s">
        <v>222</v>
      </c>
      <c r="M36" s="28"/>
      <c r="N36" s="28"/>
      <c r="O36" s="28"/>
    </row>
    <row r="37" spans="1:15" x14ac:dyDescent="0.25">
      <c r="A37" s="28"/>
      <c r="B37" s="41" t="s">
        <v>223</v>
      </c>
      <c r="M37" s="28"/>
      <c r="N37" s="28"/>
      <c r="O37" s="28"/>
    </row>
    <row r="38" spans="1:15" x14ac:dyDescent="0.25">
      <c r="A38" s="28"/>
      <c r="B38" s="69" t="s">
        <v>227</v>
      </c>
      <c r="C38" s="70"/>
      <c r="D38" s="70"/>
      <c r="E38" s="70"/>
      <c r="F38" s="70"/>
      <c r="G38" s="70"/>
      <c r="H38" s="70"/>
      <c r="I38" s="71"/>
      <c r="J38" s="70"/>
      <c r="K38" s="70"/>
      <c r="L38" s="28"/>
      <c r="M38" s="28"/>
      <c r="N38" s="28"/>
      <c r="O38" s="28"/>
    </row>
    <row r="39" spans="1:15" x14ac:dyDescent="0.25">
      <c r="A39" s="28"/>
      <c r="B39" s="79" t="s">
        <v>232</v>
      </c>
      <c r="C39" s="72"/>
      <c r="D39" s="72"/>
      <c r="E39" s="72"/>
      <c r="F39" s="72"/>
      <c r="G39" s="72"/>
      <c r="H39" s="72"/>
      <c r="I39" s="72"/>
      <c r="J39" s="72"/>
      <c r="K39" s="72"/>
      <c r="N39" s="28"/>
      <c r="O39" s="28"/>
    </row>
    <row r="40" spans="1:15" x14ac:dyDescent="0.25">
      <c r="A40" s="28"/>
      <c r="B40" s="75" t="s">
        <v>36</v>
      </c>
      <c r="C40" s="8"/>
      <c r="D40" s="8"/>
      <c r="E40" s="8"/>
      <c r="F40" s="8"/>
      <c r="G40" s="8"/>
      <c r="H40" s="8"/>
      <c r="I40" s="25"/>
      <c r="J40" s="8"/>
      <c r="K40" s="8"/>
      <c r="L40" s="28"/>
      <c r="N40" s="28"/>
      <c r="O40" s="28"/>
    </row>
    <row r="41" spans="1:15" x14ac:dyDescent="0.25">
      <c r="A41" s="28"/>
      <c r="B41" s="22" t="s">
        <v>133</v>
      </c>
      <c r="L41" s="28"/>
      <c r="N41" s="28"/>
      <c r="O41" s="28"/>
    </row>
    <row r="42" spans="1:15" x14ac:dyDescent="0.25">
      <c r="A42" s="28"/>
      <c r="B42" s="22" t="s">
        <v>210</v>
      </c>
      <c r="L42" s="28"/>
      <c r="M42" s="28"/>
      <c r="N42" s="28"/>
      <c r="O42" s="28" t="s">
        <v>34</v>
      </c>
    </row>
    <row r="43" spans="1:15" x14ac:dyDescent="0.25">
      <c r="B43" s="41"/>
      <c r="M43" s="28"/>
      <c r="N43" s="28"/>
      <c r="O43" s="28"/>
    </row>
    <row r="44" spans="1:15" x14ac:dyDescent="0.25">
      <c r="B44" s="41" t="s">
        <v>197</v>
      </c>
      <c r="C44" s="64"/>
      <c r="D44" s="64"/>
      <c r="E44" s="64"/>
      <c r="F44" s="64"/>
      <c r="G44" s="64"/>
      <c r="H44" s="64"/>
      <c r="I44" s="64"/>
      <c r="J44" s="64"/>
      <c r="K44" s="64"/>
      <c r="L44" s="65"/>
      <c r="N44" s="28"/>
      <c r="O44" s="28"/>
    </row>
    <row r="45" spans="1:15" x14ac:dyDescent="0.25">
      <c r="B45" s="41" t="s">
        <v>198</v>
      </c>
      <c r="C45" s="64"/>
      <c r="D45" s="64"/>
      <c r="E45" s="64"/>
      <c r="F45" s="64"/>
      <c r="G45" s="64"/>
      <c r="H45" s="64"/>
      <c r="I45" s="64"/>
      <c r="J45" s="64"/>
      <c r="K45" s="64"/>
      <c r="L45" s="65"/>
    </row>
    <row r="46" spans="1:15" x14ac:dyDescent="0.25">
      <c r="B46" s="22" t="s">
        <v>194</v>
      </c>
      <c r="C46" s="8"/>
      <c r="D46" s="8"/>
      <c r="E46" s="8"/>
      <c r="F46" s="8"/>
      <c r="G46" s="8"/>
      <c r="H46" s="8"/>
      <c r="I46" s="25"/>
      <c r="J46" s="8"/>
      <c r="K46" s="8"/>
    </row>
    <row r="47" spans="1:15" x14ac:dyDescent="0.25">
      <c r="B47" s="41"/>
      <c r="G47" t="s">
        <v>34</v>
      </c>
    </row>
    <row r="48" spans="1:15" x14ac:dyDescent="0.25">
      <c r="B48" s="41" t="s">
        <v>154</v>
      </c>
      <c r="C48" s="41"/>
      <c r="D48" s="41"/>
      <c r="E48" s="41"/>
      <c r="F48" s="41"/>
      <c r="G48" s="41"/>
      <c r="H48" s="41"/>
      <c r="I48" s="41"/>
      <c r="J48" s="41"/>
      <c r="K48" s="41"/>
      <c r="N48" t="s">
        <v>34</v>
      </c>
    </row>
    <row r="49" spans="2:11" x14ac:dyDescent="0.25">
      <c r="B49" s="41" t="s">
        <v>155</v>
      </c>
      <c r="C49" s="41"/>
      <c r="D49" s="41"/>
      <c r="E49" s="41"/>
      <c r="F49" s="41"/>
      <c r="G49" s="41"/>
      <c r="H49" s="41"/>
      <c r="I49" s="41"/>
      <c r="J49" s="41"/>
      <c r="K49" s="41"/>
    </row>
    <row r="50" spans="2:11" x14ac:dyDescent="0.25">
      <c r="B50" s="22" t="s">
        <v>157</v>
      </c>
      <c r="C50" s="28"/>
      <c r="D50" s="28"/>
      <c r="E50" s="28"/>
      <c r="F50" s="28"/>
      <c r="G50" s="28"/>
      <c r="H50" s="29"/>
      <c r="I50" s="28"/>
      <c r="J50" s="41"/>
      <c r="K50" s="28"/>
    </row>
  </sheetData>
  <pageMargins left="0.7" right="0.7" top="0.75" bottom="0.75" header="0.3" footer="0.3"/>
  <pageSetup scale="63" orientation="landscape" verticalDpi="597"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0" tint="-0.499984740745262"/>
    <pageSetUpPr fitToPage="1"/>
  </sheetPr>
  <dimension ref="A1:S52"/>
  <sheetViews>
    <sheetView zoomScale="90" zoomScaleNormal="90" workbookViewId="0"/>
  </sheetViews>
  <sheetFormatPr defaultRowHeight="15" x14ac:dyDescent="0.25"/>
  <cols>
    <col min="1" max="1" width="7.5703125" customWidth="1"/>
    <col min="2" max="2" width="10.28515625" customWidth="1"/>
    <col min="3" max="3" width="6.42578125" customWidth="1"/>
    <col min="5" max="5" width="8.5703125" customWidth="1"/>
    <col min="8" max="8" width="7.7109375" customWidth="1"/>
    <col min="10" max="10" width="7.42578125" customWidth="1"/>
    <col min="12" max="12" width="6.85546875" customWidth="1"/>
    <col min="13" max="13" width="7.5703125" customWidth="1"/>
    <col min="14" max="14" width="7" customWidth="1"/>
  </cols>
  <sheetData>
    <row r="1" spans="1:15" x14ac:dyDescent="0.25">
      <c r="A1" t="s">
        <v>34</v>
      </c>
    </row>
    <row r="6" spans="1:15" x14ac:dyDescent="0.25">
      <c r="A6" s="7" t="s">
        <v>12</v>
      </c>
      <c r="B6" s="28"/>
      <c r="C6" s="28"/>
      <c r="D6" s="28"/>
      <c r="E6" s="28"/>
      <c r="F6" s="28"/>
      <c r="G6" s="28"/>
      <c r="H6" s="28"/>
      <c r="I6" s="29"/>
      <c r="J6" s="28"/>
      <c r="K6" s="28"/>
      <c r="L6" s="28"/>
      <c r="M6" s="28"/>
      <c r="N6" s="28"/>
      <c r="O6" s="28"/>
    </row>
    <row r="7" spans="1:15" x14ac:dyDescent="0.25">
      <c r="A7" s="30" t="s">
        <v>13</v>
      </c>
      <c r="B7" s="30">
        <v>40968</v>
      </c>
    </row>
    <row r="8" spans="1:15" x14ac:dyDescent="0.25">
      <c r="A8" s="28" t="s">
        <v>14</v>
      </c>
      <c r="B8" s="28">
        <v>17</v>
      </c>
      <c r="C8" s="28" t="s">
        <v>487</v>
      </c>
      <c r="D8" s="28"/>
      <c r="E8" s="28"/>
      <c r="F8" s="28"/>
      <c r="G8" s="28"/>
      <c r="H8" s="28"/>
      <c r="I8" s="29"/>
      <c r="J8" s="28"/>
      <c r="K8" s="28" t="s">
        <v>34</v>
      </c>
      <c r="L8" s="28" t="s">
        <v>34</v>
      </c>
      <c r="M8" s="28"/>
      <c r="N8" s="28"/>
      <c r="O8" s="28"/>
    </row>
    <row r="9" spans="1:15" x14ac:dyDescent="0.25">
      <c r="A9" s="8" t="s">
        <v>15</v>
      </c>
      <c r="B9" s="8">
        <v>11</v>
      </c>
      <c r="C9" s="28" t="s">
        <v>192</v>
      </c>
      <c r="D9" s="8"/>
      <c r="E9" s="8"/>
      <c r="F9" s="8"/>
      <c r="G9" s="8"/>
      <c r="H9" s="8"/>
      <c r="I9" s="25"/>
      <c r="J9" s="8"/>
      <c r="K9" s="8"/>
      <c r="L9" s="8"/>
      <c r="M9" s="8"/>
      <c r="N9" s="8"/>
      <c r="O9" s="8"/>
    </row>
    <row r="10" spans="1:15" x14ac:dyDescent="0.25">
      <c r="A10" s="28" t="s">
        <v>16</v>
      </c>
      <c r="B10" s="87">
        <v>2000</v>
      </c>
      <c r="C10" s="31" t="s">
        <v>195</v>
      </c>
      <c r="D10" s="28"/>
      <c r="E10" s="28"/>
      <c r="F10" s="28"/>
      <c r="G10" s="28"/>
      <c r="H10" s="28"/>
      <c r="I10" s="29" t="s">
        <v>34</v>
      </c>
      <c r="J10" s="28" t="s">
        <v>34</v>
      </c>
      <c r="K10" s="28" t="s">
        <v>34</v>
      </c>
      <c r="L10" s="28" t="s">
        <v>34</v>
      </c>
      <c r="M10" s="28" t="s">
        <v>34</v>
      </c>
      <c r="N10" s="28" t="s">
        <v>34</v>
      </c>
      <c r="O10" s="28"/>
    </row>
    <row r="11" spans="1:15" x14ac:dyDescent="0.25">
      <c r="A11" s="28"/>
      <c r="B11" s="243">
        <v>200000000</v>
      </c>
      <c r="C11" s="31" t="s">
        <v>58</v>
      </c>
      <c r="D11" s="28"/>
      <c r="E11" s="28"/>
      <c r="F11" s="28"/>
      <c r="G11" s="28"/>
      <c r="H11" s="28"/>
      <c r="I11" s="29"/>
      <c r="J11" s="28"/>
      <c r="K11" s="28" t="s">
        <v>34</v>
      </c>
      <c r="L11" s="28"/>
      <c r="M11" s="28"/>
      <c r="N11" s="28"/>
      <c r="O11" s="28"/>
    </row>
    <row r="12" spans="1:15" x14ac:dyDescent="0.25">
      <c r="A12" s="28"/>
      <c r="B12" s="87">
        <v>95</v>
      </c>
      <c r="C12" s="31" t="s">
        <v>701</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42"/>
      <c r="J13" s="28"/>
      <c r="K13" s="28"/>
      <c r="L13" s="28"/>
      <c r="M13" s="28"/>
      <c r="N13" s="28"/>
      <c r="O13" s="28"/>
    </row>
    <row r="14" spans="1:15" x14ac:dyDescent="0.25">
      <c r="A14" s="28"/>
      <c r="B14" s="31">
        <v>100</v>
      </c>
      <c r="C14" s="87" t="s">
        <v>696</v>
      </c>
      <c r="D14" s="28"/>
      <c r="E14" s="28"/>
      <c r="F14" s="28"/>
      <c r="G14" s="28"/>
      <c r="H14" s="28"/>
      <c r="I14" s="242"/>
      <c r="J14" s="28"/>
      <c r="K14" s="28"/>
      <c r="L14" s="28"/>
      <c r="M14" s="28"/>
      <c r="N14" s="28"/>
      <c r="O14" s="28"/>
    </row>
    <row r="15" spans="1:15" x14ac:dyDescent="0.25">
      <c r="A15" s="28"/>
      <c r="B15" s="31">
        <v>0</v>
      </c>
      <c r="C15" s="87" t="s">
        <v>698</v>
      </c>
      <c r="D15" s="28"/>
      <c r="E15" s="28"/>
      <c r="F15" s="28"/>
      <c r="G15" s="28"/>
      <c r="H15" s="28"/>
      <c r="I15" s="242"/>
      <c r="J15" s="28"/>
      <c r="K15" s="28"/>
      <c r="L15" s="28"/>
      <c r="M15" s="28"/>
      <c r="N15" s="28"/>
      <c r="O15" s="28"/>
    </row>
    <row r="16" spans="1:15" x14ac:dyDescent="0.25">
      <c r="A16" s="28"/>
      <c r="B16" s="232">
        <f>(B12*B13/100*1000)/(B10+B12-B14+B15)*1000</f>
        <v>2857.1428571428573</v>
      </c>
      <c r="C16" s="28" t="s">
        <v>700</v>
      </c>
      <c r="D16" s="28"/>
      <c r="E16" s="28"/>
      <c r="F16" s="28"/>
      <c r="G16" s="28"/>
      <c r="H16" s="28"/>
      <c r="I16" s="242"/>
      <c r="J16" s="28"/>
      <c r="K16" s="28"/>
      <c r="L16" s="28"/>
      <c r="M16" s="28"/>
      <c r="N16" s="28"/>
      <c r="O16" s="28"/>
    </row>
    <row r="17" spans="1:19" ht="15.75" thickBot="1" x14ac:dyDescent="0.3">
      <c r="A17" s="28"/>
      <c r="B17" s="28"/>
      <c r="C17" s="28" t="s">
        <v>705</v>
      </c>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23.2</v>
      </c>
      <c r="C19" s="23">
        <v>7.45</v>
      </c>
      <c r="D19" s="23">
        <v>9.09</v>
      </c>
      <c r="E19" s="23">
        <v>400</v>
      </c>
      <c r="F19" s="23">
        <v>0.63</v>
      </c>
      <c r="G19" s="23">
        <v>150</v>
      </c>
      <c r="H19" s="23">
        <v>100</v>
      </c>
      <c r="I19" s="33">
        <v>8500000</v>
      </c>
      <c r="J19" s="125">
        <f t="shared" ref="J19:J24" si="0">LOG(I$19)-LOG(I19)</f>
        <v>0</v>
      </c>
      <c r="K19" s="33">
        <v>11000000</v>
      </c>
      <c r="L19" s="23" t="s">
        <v>26</v>
      </c>
      <c r="M19" s="34"/>
      <c r="N19" s="34"/>
      <c r="O19" s="35"/>
      <c r="P19" s="233">
        <f t="shared" ref="P19:P24" si="1">B$16*A19</f>
        <v>0</v>
      </c>
      <c r="Q19" s="233">
        <f>6/LINEST(J19:J24,P19:P24,FALSE)</f>
        <v>121316.88487345914</v>
      </c>
      <c r="R19" s="233">
        <f>Q19/3000</f>
        <v>40.438961624486382</v>
      </c>
      <c r="S19" s="233">
        <f>(J26/LINEST($J19:$J24,$P19:$P24,FALSE))/$B$16</f>
        <v>30.430318622426</v>
      </c>
    </row>
    <row r="20" spans="1:19" ht="15.75" thickBot="1" x14ac:dyDescent="0.3">
      <c r="A20" s="32">
        <v>3</v>
      </c>
      <c r="B20" s="24">
        <v>23.1</v>
      </c>
      <c r="C20" s="24">
        <v>10.89</v>
      </c>
      <c r="D20" s="24">
        <v>11.2</v>
      </c>
      <c r="E20" s="24">
        <v>2800</v>
      </c>
      <c r="F20" s="24">
        <v>0.63</v>
      </c>
      <c r="G20" s="24">
        <v>190</v>
      </c>
      <c r="H20" s="24">
        <v>125</v>
      </c>
      <c r="I20" s="33">
        <v>6900000</v>
      </c>
      <c r="J20" s="125">
        <f t="shared" si="0"/>
        <v>9.0569834977037189E-2</v>
      </c>
      <c r="K20" s="33">
        <v>6700000</v>
      </c>
      <c r="L20" s="24">
        <v>0.21</v>
      </c>
      <c r="M20" s="35"/>
      <c r="N20" s="35"/>
      <c r="O20" s="35"/>
      <c r="P20" s="233">
        <f t="shared" si="1"/>
        <v>8571.4285714285725</v>
      </c>
    </row>
    <row r="21" spans="1:19" ht="15.75" thickBot="1" x14ac:dyDescent="0.3">
      <c r="A21" s="32">
        <v>5</v>
      </c>
      <c r="B21" s="24">
        <v>23.2</v>
      </c>
      <c r="C21" s="24">
        <v>10.9</v>
      </c>
      <c r="D21" s="24">
        <v>11.23</v>
      </c>
      <c r="E21" s="24">
        <v>3600</v>
      </c>
      <c r="F21" s="24">
        <v>0.54</v>
      </c>
      <c r="G21" s="24">
        <v>150</v>
      </c>
      <c r="H21" s="24">
        <v>154</v>
      </c>
      <c r="I21" s="33">
        <v>3500000</v>
      </c>
      <c r="J21" s="125">
        <f t="shared" si="0"/>
        <v>0.38535088136401718</v>
      </c>
      <c r="K21" s="33">
        <v>5000000</v>
      </c>
      <c r="L21" s="24">
        <v>0.34</v>
      </c>
      <c r="M21" s="35"/>
      <c r="N21" s="35"/>
      <c r="O21" s="35"/>
      <c r="P21" s="233">
        <f t="shared" si="1"/>
        <v>14285.714285714286</v>
      </c>
    </row>
    <row r="22" spans="1:19" ht="15.75" thickBot="1" x14ac:dyDescent="0.3">
      <c r="A22" s="32">
        <v>10</v>
      </c>
      <c r="B22" s="24">
        <v>23.2</v>
      </c>
      <c r="C22" s="24">
        <v>10.77</v>
      </c>
      <c r="D22" s="24">
        <v>11.19</v>
      </c>
      <c r="E22" s="24">
        <v>2900</v>
      </c>
      <c r="F22" s="24">
        <v>0.55000000000000004</v>
      </c>
      <c r="G22" s="24">
        <v>180</v>
      </c>
      <c r="H22" s="24">
        <v>108</v>
      </c>
      <c r="I22" s="33">
        <v>1100000</v>
      </c>
      <c r="J22" s="125">
        <f t="shared" si="0"/>
        <v>0.88802624055606749</v>
      </c>
      <c r="K22" s="33">
        <v>50000</v>
      </c>
      <c r="L22" s="24">
        <v>3.04</v>
      </c>
      <c r="M22" s="35"/>
      <c r="N22" s="35"/>
      <c r="O22" s="35"/>
      <c r="P22" s="233">
        <f t="shared" si="1"/>
        <v>28571.428571428572</v>
      </c>
    </row>
    <row r="23" spans="1:19" ht="15.75" thickBot="1" x14ac:dyDescent="0.3">
      <c r="A23" s="32">
        <v>15</v>
      </c>
      <c r="B23" s="24">
        <v>23.2</v>
      </c>
      <c r="C23" s="24">
        <v>10.65</v>
      </c>
      <c r="D23" s="24">
        <v>11.26</v>
      </c>
      <c r="E23" s="24">
        <v>3000</v>
      </c>
      <c r="F23" s="24">
        <v>0.67</v>
      </c>
      <c r="G23" s="24">
        <v>180</v>
      </c>
      <c r="H23" s="24">
        <v>166</v>
      </c>
      <c r="I23" s="33">
        <v>29000</v>
      </c>
      <c r="J23" s="125">
        <f t="shared" si="0"/>
        <v>2.4670209278153363</v>
      </c>
      <c r="K23" s="33">
        <v>0</v>
      </c>
      <c r="L23" s="24" t="s">
        <v>218</v>
      </c>
      <c r="M23" s="35"/>
      <c r="N23" s="35"/>
      <c r="O23" s="35"/>
      <c r="P23" s="233">
        <f t="shared" si="1"/>
        <v>42857.142857142862</v>
      </c>
    </row>
    <row r="24" spans="1:19" ht="15.75" thickBot="1" x14ac:dyDescent="0.3">
      <c r="A24" s="32">
        <v>30</v>
      </c>
      <c r="B24" s="24">
        <v>23.3</v>
      </c>
      <c r="C24" s="24">
        <v>10.6</v>
      </c>
      <c r="D24" s="24">
        <v>11.24</v>
      </c>
      <c r="E24" s="24">
        <v>2900</v>
      </c>
      <c r="F24" s="24">
        <v>0.56999999999999995</v>
      </c>
      <c r="G24" s="24">
        <v>180</v>
      </c>
      <c r="H24" s="24">
        <v>163</v>
      </c>
      <c r="I24" s="33">
        <v>400</v>
      </c>
      <c r="J24" s="125">
        <f t="shared" si="0"/>
        <v>4.3273589343863303</v>
      </c>
      <c r="K24" s="33">
        <v>400</v>
      </c>
      <c r="L24" s="24">
        <v>4.4400000000000004</v>
      </c>
      <c r="M24" s="36">
        <v>127</v>
      </c>
      <c r="N24" s="36">
        <v>6264</v>
      </c>
      <c r="O24" s="36">
        <v>2340</v>
      </c>
      <c r="P24" s="233">
        <f t="shared" si="1"/>
        <v>85714.285714285725</v>
      </c>
    </row>
    <row r="25" spans="1:19" s="83" customFormat="1" ht="15.75" thickBot="1" x14ac:dyDescent="0.3">
      <c r="A25" s="76" t="s">
        <v>52</v>
      </c>
      <c r="B25" s="77">
        <v>23.3</v>
      </c>
      <c r="C25" s="77">
        <v>10.6</v>
      </c>
      <c r="D25" s="77">
        <v>10.96</v>
      </c>
      <c r="E25" s="77">
        <v>2800</v>
      </c>
      <c r="F25" s="78">
        <v>0.61</v>
      </c>
      <c r="G25" s="77">
        <v>180</v>
      </c>
      <c r="H25" s="77">
        <v>181</v>
      </c>
      <c r="I25" s="33">
        <v>0</v>
      </c>
      <c r="J25" s="77" t="s">
        <v>199</v>
      </c>
      <c r="K25" s="33">
        <v>0</v>
      </c>
      <c r="L25" s="77" t="s">
        <v>180</v>
      </c>
      <c r="M25" s="36">
        <v>159</v>
      </c>
      <c r="N25" s="36">
        <v>6239</v>
      </c>
      <c r="O25" s="27"/>
      <c r="P25" s="233"/>
      <c r="Q25"/>
      <c r="R25"/>
    </row>
    <row r="26" spans="1:19" x14ac:dyDescent="0.25">
      <c r="A26" s="28"/>
      <c r="B26" s="28">
        <f>AVERAGE(B20:B24)</f>
        <v>23.2</v>
      </c>
      <c r="C26" s="28">
        <f>AVERAGE(C20:C24)</f>
        <v>10.762</v>
      </c>
      <c r="D26" s="28"/>
      <c r="E26" s="28"/>
      <c r="F26" s="28"/>
      <c r="G26" s="28"/>
      <c r="H26" s="28"/>
      <c r="I26" s="29"/>
      <c r="J26" s="28">
        <v>4.3</v>
      </c>
      <c r="K26" s="28"/>
      <c r="L26" s="28"/>
      <c r="M26" s="28"/>
      <c r="N26" s="28"/>
      <c r="O26" s="28"/>
    </row>
    <row r="27" spans="1:19" x14ac:dyDescent="0.25">
      <c r="A27" s="28" t="s">
        <v>140</v>
      </c>
      <c r="B27" s="8"/>
      <c r="C27" s="8"/>
      <c r="D27" s="8"/>
      <c r="E27" s="8"/>
      <c r="F27" s="8"/>
      <c r="G27" s="8"/>
      <c r="H27" s="8"/>
      <c r="I27" s="25"/>
      <c r="J27" s="8"/>
      <c r="K27" s="8"/>
      <c r="L27" s="8"/>
      <c r="M27" s="8"/>
      <c r="N27" s="28"/>
      <c r="O27" s="8"/>
    </row>
    <row r="28" spans="1:19" x14ac:dyDescent="0.25">
      <c r="A28" s="28"/>
      <c r="B28" s="28" t="s">
        <v>141</v>
      </c>
      <c r="C28" s="8"/>
      <c r="D28" s="8"/>
      <c r="E28" s="8"/>
      <c r="F28" s="8"/>
      <c r="G28" s="8"/>
      <c r="H28" s="8"/>
      <c r="I28" s="25"/>
      <c r="J28" s="8"/>
      <c r="K28" s="8"/>
      <c r="L28" s="8"/>
      <c r="M28" s="8"/>
      <c r="N28" s="28"/>
      <c r="O28" s="8"/>
    </row>
    <row r="29" spans="1:19" x14ac:dyDescent="0.25">
      <c r="A29" s="28" t="s">
        <v>203</v>
      </c>
      <c r="B29" s="28"/>
      <c r="C29" s="28"/>
      <c r="D29" s="28"/>
      <c r="E29" s="28"/>
      <c r="F29" s="28"/>
      <c r="G29" s="28"/>
      <c r="H29" s="28"/>
      <c r="I29" s="29"/>
      <c r="J29" s="28"/>
      <c r="K29" s="28"/>
      <c r="L29" s="28" t="s">
        <v>34</v>
      </c>
      <c r="M29" s="28"/>
      <c r="N29" s="28" t="s">
        <v>34</v>
      </c>
      <c r="O29" s="28"/>
    </row>
    <row r="30" spans="1:19" x14ac:dyDescent="0.25">
      <c r="A30" s="59" t="s">
        <v>219</v>
      </c>
      <c r="F30" s="28"/>
      <c r="G30" s="28"/>
      <c r="H30" s="28"/>
      <c r="I30" s="29"/>
      <c r="J30" s="28"/>
      <c r="K30" s="28"/>
      <c r="L30" s="28" t="s">
        <v>34</v>
      </c>
      <c r="M30" s="28" t="s">
        <v>34</v>
      </c>
      <c r="N30" s="28"/>
      <c r="O30" s="28"/>
    </row>
    <row r="31" spans="1:19" x14ac:dyDescent="0.25">
      <c r="N31" s="28"/>
      <c r="O31" s="28"/>
    </row>
    <row r="32" spans="1:19" x14ac:dyDescent="0.25">
      <c r="A32" s="19" t="s">
        <v>28</v>
      </c>
      <c r="B32" s="28"/>
      <c r="C32" s="28"/>
      <c r="D32" s="28"/>
      <c r="E32" s="28"/>
      <c r="F32" s="28"/>
      <c r="G32" s="28"/>
      <c r="H32" s="28"/>
      <c r="I32" s="29"/>
      <c r="J32" s="28"/>
      <c r="K32" s="28" t="s">
        <v>34</v>
      </c>
      <c r="L32" s="28"/>
      <c r="M32" s="28" t="s">
        <v>34</v>
      </c>
      <c r="N32" s="28"/>
      <c r="O32" s="28"/>
    </row>
    <row r="33" spans="1:15" x14ac:dyDescent="0.25">
      <c r="A33" s="28"/>
      <c r="B33" s="22"/>
      <c r="C33" s="28"/>
      <c r="D33" s="28"/>
      <c r="E33" s="28"/>
      <c r="F33" s="28"/>
      <c r="G33" s="28"/>
      <c r="H33" s="28"/>
      <c r="I33" s="29"/>
      <c r="J33" s="28"/>
      <c r="K33" s="28"/>
      <c r="L33" s="28"/>
      <c r="M33" s="28" t="s">
        <v>34</v>
      </c>
      <c r="N33" s="28"/>
      <c r="O33" s="28"/>
    </row>
    <row r="34" spans="1:15" x14ac:dyDescent="0.25">
      <c r="A34" s="28"/>
      <c r="B34" s="41" t="s">
        <v>234</v>
      </c>
      <c r="C34" s="41"/>
      <c r="D34" s="41"/>
      <c r="E34" s="41"/>
      <c r="F34" s="41"/>
      <c r="G34" s="41"/>
      <c r="H34" s="41"/>
      <c r="I34" s="41"/>
      <c r="J34" s="41"/>
      <c r="K34" s="41"/>
      <c r="L34" s="41" t="s">
        <v>34</v>
      </c>
      <c r="M34" s="28"/>
      <c r="N34" s="28"/>
      <c r="O34" s="28"/>
    </row>
    <row r="35" spans="1:15" x14ac:dyDescent="0.25">
      <c r="A35" s="28"/>
      <c r="B35" s="41"/>
      <c r="C35" s="41"/>
      <c r="D35" s="41"/>
      <c r="E35" s="41"/>
      <c r="F35" s="41"/>
      <c r="G35" s="41"/>
      <c r="H35" s="41"/>
      <c r="I35" s="41"/>
      <c r="J35" s="41"/>
      <c r="K35" s="41"/>
      <c r="L35" s="41"/>
      <c r="M35" s="28"/>
      <c r="N35" s="28"/>
      <c r="O35" s="28"/>
    </row>
    <row r="36" spans="1:15" x14ac:dyDescent="0.25">
      <c r="A36" s="28"/>
      <c r="B36" s="22" t="s">
        <v>146</v>
      </c>
      <c r="C36" s="8"/>
      <c r="D36" s="8"/>
      <c r="E36" s="8"/>
      <c r="F36" s="8"/>
      <c r="G36" s="8"/>
      <c r="H36" s="8"/>
      <c r="I36" s="25"/>
      <c r="J36" s="8"/>
      <c r="K36" s="8"/>
      <c r="L36" s="28"/>
      <c r="M36" s="28"/>
      <c r="N36" s="28"/>
      <c r="O36" s="28"/>
    </row>
    <row r="37" spans="1:15" x14ac:dyDescent="0.25">
      <c r="A37" s="28"/>
      <c r="B37" s="41" t="s">
        <v>222</v>
      </c>
      <c r="M37" s="28"/>
      <c r="N37" s="28"/>
      <c r="O37" s="28"/>
    </row>
    <row r="38" spans="1:15" x14ac:dyDescent="0.25">
      <c r="A38" s="28"/>
      <c r="B38" s="41" t="s">
        <v>223</v>
      </c>
      <c r="M38" s="28"/>
      <c r="N38" s="28"/>
      <c r="O38" s="28"/>
    </row>
    <row r="39" spans="1:15" x14ac:dyDescent="0.25">
      <c r="A39" s="28"/>
      <c r="B39" s="69" t="s">
        <v>236</v>
      </c>
      <c r="C39" s="70"/>
      <c r="D39" s="70"/>
      <c r="E39" s="70"/>
      <c r="F39" s="70"/>
      <c r="G39" s="70"/>
      <c r="H39" s="70"/>
      <c r="I39" s="71"/>
      <c r="J39" s="70"/>
      <c r="K39" s="70"/>
      <c r="L39" s="28"/>
      <c r="M39" s="28"/>
      <c r="N39" s="28"/>
      <c r="O39" s="28"/>
    </row>
    <row r="40" spans="1:15" x14ac:dyDescent="0.25">
      <c r="A40" s="28"/>
      <c r="B40" s="79" t="s">
        <v>212</v>
      </c>
      <c r="C40" s="72"/>
      <c r="D40" s="72"/>
      <c r="E40" s="72"/>
      <c r="F40" s="72"/>
      <c r="G40" s="72"/>
      <c r="H40" s="72"/>
      <c r="I40" s="72"/>
      <c r="J40" s="72"/>
      <c r="K40" s="72"/>
      <c r="N40" s="28"/>
      <c r="O40" s="28"/>
    </row>
    <row r="41" spans="1:15" x14ac:dyDescent="0.25">
      <c r="A41" s="28"/>
      <c r="B41" s="75" t="s">
        <v>36</v>
      </c>
      <c r="C41" s="8"/>
      <c r="D41" s="8"/>
      <c r="E41" s="8"/>
      <c r="F41" s="8"/>
      <c r="G41" s="8"/>
      <c r="H41" s="8"/>
      <c r="I41" s="25"/>
      <c r="J41" s="8"/>
      <c r="K41" s="8"/>
      <c r="L41" s="28"/>
      <c r="N41" s="28"/>
      <c r="O41" s="28"/>
    </row>
    <row r="42" spans="1:15" x14ac:dyDescent="0.25">
      <c r="A42" s="28"/>
      <c r="B42" s="22" t="s">
        <v>133</v>
      </c>
      <c r="L42" s="28"/>
      <c r="N42" s="28"/>
      <c r="O42" s="28" t="s">
        <v>34</v>
      </c>
    </row>
    <row r="43" spans="1:15" x14ac:dyDescent="0.25">
      <c r="A43" s="28"/>
      <c r="B43" s="22" t="s">
        <v>211</v>
      </c>
      <c r="L43" s="28"/>
      <c r="M43" s="28"/>
      <c r="N43" s="28"/>
      <c r="O43" s="28"/>
    </row>
    <row r="44" spans="1:15" x14ac:dyDescent="0.25">
      <c r="B44" s="41" t="s">
        <v>214</v>
      </c>
      <c r="M44" s="28"/>
      <c r="N44" s="28"/>
      <c r="O44" s="28"/>
    </row>
    <row r="45" spans="1:15" x14ac:dyDescent="0.25">
      <c r="B45" s="41"/>
    </row>
    <row r="46" spans="1:15" x14ac:dyDescent="0.25">
      <c r="B46" s="41" t="s">
        <v>217</v>
      </c>
      <c r="C46" s="64"/>
      <c r="D46" s="64"/>
      <c r="E46" s="64"/>
      <c r="F46" s="64"/>
      <c r="G46" s="64"/>
      <c r="H46" s="64"/>
      <c r="I46" s="64"/>
      <c r="J46" s="64"/>
      <c r="K46" s="64"/>
      <c r="L46" s="65"/>
    </row>
    <row r="47" spans="1:15" x14ac:dyDescent="0.25">
      <c r="B47" s="41" t="s">
        <v>216</v>
      </c>
      <c r="C47" s="64"/>
      <c r="D47" s="64"/>
      <c r="E47" s="64"/>
      <c r="F47" s="64"/>
      <c r="G47" s="64"/>
      <c r="H47" s="64"/>
      <c r="I47" s="64"/>
      <c r="J47" s="64"/>
      <c r="K47" s="64"/>
      <c r="L47" s="65"/>
    </row>
    <row r="48" spans="1:15" x14ac:dyDescent="0.25">
      <c r="B48" s="22" t="s">
        <v>193</v>
      </c>
      <c r="C48" s="8"/>
      <c r="D48" s="8"/>
      <c r="E48" s="8"/>
      <c r="F48" s="8"/>
      <c r="G48" s="8"/>
      <c r="H48" s="8"/>
      <c r="I48" s="25"/>
      <c r="J48" s="8"/>
      <c r="K48" s="8"/>
      <c r="N48" t="s">
        <v>34</v>
      </c>
    </row>
    <row r="49" spans="2:13" x14ac:dyDescent="0.25">
      <c r="B49" s="41"/>
      <c r="G49" t="s">
        <v>34</v>
      </c>
    </row>
    <row r="50" spans="2:13" x14ac:dyDescent="0.25">
      <c r="B50" s="41" t="s">
        <v>154</v>
      </c>
      <c r="C50" s="41"/>
      <c r="D50" s="41"/>
      <c r="E50" s="41"/>
      <c r="F50" s="41"/>
      <c r="G50" s="41"/>
      <c r="H50" s="41"/>
      <c r="I50" s="41"/>
      <c r="J50" s="41"/>
      <c r="K50" s="41"/>
    </row>
    <row r="51" spans="2:13" x14ac:dyDescent="0.25">
      <c r="B51" s="41" t="s">
        <v>155</v>
      </c>
      <c r="C51" s="41"/>
      <c r="D51" s="41"/>
      <c r="E51" s="41"/>
      <c r="F51" s="41"/>
      <c r="G51" s="41"/>
      <c r="H51" s="41"/>
      <c r="I51" s="41"/>
      <c r="J51" s="41"/>
      <c r="K51" s="41"/>
      <c r="M51" t="s">
        <v>34</v>
      </c>
    </row>
    <row r="52" spans="2:13" x14ac:dyDescent="0.25">
      <c r="B52" s="22" t="s">
        <v>157</v>
      </c>
      <c r="C52" s="28"/>
      <c r="D52" s="28"/>
      <c r="E52" s="28"/>
      <c r="F52" s="28"/>
      <c r="G52" s="28"/>
      <c r="H52" s="29"/>
      <c r="I52" s="28"/>
      <c r="J52" s="41"/>
      <c r="K52" s="28"/>
    </row>
  </sheetData>
  <pageMargins left="0.7" right="0.7" top="0.75" bottom="0.75" header="0.3" footer="0.3"/>
  <pageSetup scale="61" orientation="landscape" verticalDpi="597"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0" tint="-0.499984740745262"/>
    <pageSetUpPr fitToPage="1"/>
  </sheetPr>
  <dimension ref="A6:S50"/>
  <sheetViews>
    <sheetView zoomScale="90" zoomScaleNormal="90" workbookViewId="0"/>
  </sheetViews>
  <sheetFormatPr defaultRowHeight="15" x14ac:dyDescent="0.25"/>
  <cols>
    <col min="1" max="1" width="8.7109375" customWidth="1"/>
    <col min="3" max="3" width="6.5703125" customWidth="1"/>
    <col min="8" max="8" width="7.42578125" customWidth="1"/>
    <col min="10" max="10" width="6.7109375" customWidth="1"/>
    <col min="12" max="12" width="6.28515625" customWidth="1"/>
    <col min="13" max="13" width="7.28515625" customWidth="1"/>
    <col min="14" max="14" width="6.85546875"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40969</v>
      </c>
    </row>
    <row r="8" spans="1:15" x14ac:dyDescent="0.25">
      <c r="A8" s="28" t="s">
        <v>14</v>
      </c>
      <c r="B8" s="28">
        <v>18</v>
      </c>
      <c r="C8" s="28" t="s">
        <v>488</v>
      </c>
      <c r="D8" s="28"/>
      <c r="E8" s="28"/>
      <c r="F8" s="28"/>
      <c r="G8" s="28"/>
      <c r="H8" s="28"/>
      <c r="I8" s="29"/>
      <c r="J8" s="28"/>
      <c r="K8" s="28" t="s">
        <v>34</v>
      </c>
      <c r="L8" s="28" t="s">
        <v>34</v>
      </c>
      <c r="M8" s="28"/>
      <c r="N8" s="28"/>
      <c r="O8" s="28"/>
    </row>
    <row r="9" spans="1:15" x14ac:dyDescent="0.25">
      <c r="A9" s="8" t="s">
        <v>15</v>
      </c>
      <c r="B9" s="8">
        <v>11</v>
      </c>
      <c r="C9" s="28" t="s">
        <v>192</v>
      </c>
      <c r="D9" s="8"/>
      <c r="E9" s="8"/>
      <c r="F9" s="8"/>
      <c r="G9" s="8"/>
      <c r="H9" s="8"/>
      <c r="I9" s="25"/>
      <c r="J9" s="8"/>
      <c r="K9" s="8"/>
      <c r="L9" s="8"/>
      <c r="M9" s="8"/>
      <c r="N9" s="8"/>
      <c r="O9" s="8"/>
    </row>
    <row r="10" spans="1:15" x14ac:dyDescent="0.25">
      <c r="A10" s="28" t="s">
        <v>16</v>
      </c>
      <c r="B10" s="87">
        <v>2000</v>
      </c>
      <c r="C10" s="31" t="s">
        <v>195</v>
      </c>
      <c r="D10" s="28"/>
      <c r="E10" s="28"/>
      <c r="F10" s="28"/>
      <c r="G10" s="28"/>
      <c r="H10" s="28"/>
      <c r="I10" s="29" t="s">
        <v>34</v>
      </c>
      <c r="J10" s="28" t="s">
        <v>34</v>
      </c>
      <c r="K10" s="28" t="s">
        <v>34</v>
      </c>
      <c r="L10" s="28" t="s">
        <v>34</v>
      </c>
      <c r="M10" s="28" t="s">
        <v>34</v>
      </c>
      <c r="N10" s="28" t="s">
        <v>34</v>
      </c>
      <c r="O10" s="28"/>
    </row>
    <row r="11" spans="1:15" x14ac:dyDescent="0.25">
      <c r="A11" s="28"/>
      <c r="B11" s="243">
        <v>200000000</v>
      </c>
      <c r="C11" s="31" t="s">
        <v>58</v>
      </c>
      <c r="D11" s="28"/>
      <c r="E11" s="28"/>
      <c r="F11" s="28"/>
      <c r="G11" s="28"/>
      <c r="H11" s="28"/>
      <c r="I11" s="29"/>
      <c r="J11" s="28"/>
      <c r="K11" s="28" t="s">
        <v>34</v>
      </c>
      <c r="L11" s="28"/>
      <c r="M11" s="28"/>
      <c r="N11" s="28"/>
      <c r="O11" s="28"/>
    </row>
    <row r="12" spans="1:15" x14ac:dyDescent="0.25">
      <c r="A12" s="28"/>
      <c r="B12" s="87">
        <v>95</v>
      </c>
      <c r="C12" s="31" t="s">
        <v>701</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42"/>
      <c r="J13" s="28"/>
      <c r="K13" s="28"/>
      <c r="L13" s="28"/>
      <c r="M13" s="28"/>
      <c r="N13" s="28"/>
      <c r="O13" s="28"/>
    </row>
    <row r="14" spans="1:15" x14ac:dyDescent="0.25">
      <c r="A14" s="28"/>
      <c r="B14" s="31">
        <v>100</v>
      </c>
      <c r="C14" s="87" t="s">
        <v>696</v>
      </c>
      <c r="D14" s="28"/>
      <c r="E14" s="28"/>
      <c r="F14" s="28"/>
      <c r="G14" s="28"/>
      <c r="H14" s="28"/>
      <c r="I14" s="242"/>
      <c r="J14" s="28"/>
      <c r="K14" s="28"/>
      <c r="L14" s="28"/>
      <c r="M14" s="28"/>
      <c r="N14" s="28"/>
      <c r="O14" s="28"/>
    </row>
    <row r="15" spans="1:15" x14ac:dyDescent="0.25">
      <c r="A15" s="28"/>
      <c r="B15" s="31">
        <v>0</v>
      </c>
      <c r="C15" s="87" t="s">
        <v>698</v>
      </c>
      <c r="D15" s="28"/>
      <c r="E15" s="28"/>
      <c r="F15" s="28"/>
      <c r="G15" s="28"/>
      <c r="H15" s="28"/>
      <c r="I15" s="242"/>
      <c r="J15" s="28"/>
      <c r="K15" s="28"/>
      <c r="L15" s="28"/>
      <c r="M15" s="28"/>
      <c r="N15" s="28"/>
      <c r="O15" s="28"/>
    </row>
    <row r="16" spans="1:15" x14ac:dyDescent="0.25">
      <c r="A16" s="28"/>
      <c r="B16" s="232">
        <f>(B12*B13/100*1000)/(B10+B12-B14+B15)*1000</f>
        <v>2857.1428571428573</v>
      </c>
      <c r="C16" s="28" t="s">
        <v>700</v>
      </c>
      <c r="D16" s="28"/>
      <c r="E16" s="28"/>
      <c r="F16" s="28"/>
      <c r="G16" s="28"/>
      <c r="H16" s="28"/>
      <c r="I16" s="242"/>
      <c r="J16" s="28"/>
      <c r="K16" s="28"/>
      <c r="L16" s="28"/>
      <c r="M16" s="28"/>
      <c r="N16" s="28"/>
      <c r="O16" s="28"/>
    </row>
    <row r="17" spans="1:19" ht="15.75" thickBot="1" x14ac:dyDescent="0.3">
      <c r="A17" s="28"/>
      <c r="B17" s="28"/>
      <c r="C17" s="28" t="s">
        <v>705</v>
      </c>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18</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22.6</v>
      </c>
      <c r="C19" s="23">
        <v>7.4</v>
      </c>
      <c r="D19" s="23">
        <v>7.72</v>
      </c>
      <c r="E19" s="23">
        <v>0.56000000000000005</v>
      </c>
      <c r="F19" s="23">
        <v>0.63</v>
      </c>
      <c r="G19" s="23">
        <v>140</v>
      </c>
      <c r="H19" s="23">
        <v>202</v>
      </c>
      <c r="I19" s="33">
        <v>14000000</v>
      </c>
      <c r="J19" s="125">
        <f>LOG(I$19)-LOG(I19)</f>
        <v>0</v>
      </c>
      <c r="K19" s="33">
        <v>74000000</v>
      </c>
      <c r="L19" s="23" t="s">
        <v>26</v>
      </c>
      <c r="M19" s="34"/>
      <c r="N19" s="34"/>
      <c r="O19" s="35"/>
      <c r="P19" s="233">
        <f t="shared" ref="P19:P24" si="0">B$16*A19</f>
        <v>0</v>
      </c>
      <c r="Q19" s="233">
        <f>6/LINEST(J19:J23,P19:P23,FALSE)</f>
        <v>134466.67355865103</v>
      </c>
      <c r="R19" s="233">
        <f>Q19/3000</f>
        <v>44.822224519550346</v>
      </c>
      <c r="S19" s="233">
        <f>(J26/LINEST($J19:$J23,$P19:$P23,FALSE))/$B$16</f>
        <v>56.083808430087366</v>
      </c>
    </row>
    <row r="20" spans="1:19" ht="15.75" thickBot="1" x14ac:dyDescent="0.3">
      <c r="A20" s="32">
        <v>3</v>
      </c>
      <c r="B20" s="24">
        <v>22.6</v>
      </c>
      <c r="C20" s="24">
        <v>10.71</v>
      </c>
      <c r="D20" s="24">
        <v>11.58</v>
      </c>
      <c r="E20" s="24">
        <v>2700</v>
      </c>
      <c r="F20" s="24">
        <v>0.56999999999999995</v>
      </c>
      <c r="G20" s="24">
        <v>130</v>
      </c>
      <c r="H20" s="24">
        <v>157</v>
      </c>
      <c r="I20" s="33">
        <v>6300000</v>
      </c>
      <c r="J20" s="125">
        <f>LOG(I$19)-LOG(I20)</f>
        <v>0.34678748622465605</v>
      </c>
      <c r="K20" s="33">
        <v>6200000</v>
      </c>
      <c r="L20" s="24">
        <v>1.08</v>
      </c>
      <c r="M20" s="35"/>
      <c r="N20" s="35"/>
      <c r="O20" s="35"/>
      <c r="P20" s="233">
        <f t="shared" si="0"/>
        <v>8571.4285714285725</v>
      </c>
    </row>
    <row r="21" spans="1:19" ht="15.75" thickBot="1" x14ac:dyDescent="0.3">
      <c r="A21" s="32">
        <v>5</v>
      </c>
      <c r="B21" s="24">
        <v>22.6</v>
      </c>
      <c r="C21" s="24">
        <v>10.69</v>
      </c>
      <c r="D21" s="24">
        <v>11.58</v>
      </c>
      <c r="E21" s="24">
        <v>3100</v>
      </c>
      <c r="F21" s="24">
        <v>0.61</v>
      </c>
      <c r="G21" s="24">
        <v>140</v>
      </c>
      <c r="H21" s="24">
        <v>131</v>
      </c>
      <c r="I21" s="33">
        <v>3400000</v>
      </c>
      <c r="J21" s="125">
        <f>LOG(I$19)-LOG(I21)</f>
        <v>0.61464911863598282</v>
      </c>
      <c r="K21" s="33">
        <v>7100000</v>
      </c>
      <c r="L21" s="24">
        <v>1.02</v>
      </c>
      <c r="M21" s="35"/>
      <c r="N21" s="35"/>
      <c r="O21" s="35"/>
      <c r="P21" s="233">
        <f t="shared" si="0"/>
        <v>14285.714285714286</v>
      </c>
    </row>
    <row r="22" spans="1:19" ht="15.75" thickBot="1" x14ac:dyDescent="0.3">
      <c r="A22" s="32">
        <v>10</v>
      </c>
      <c r="B22" s="24">
        <v>22.7</v>
      </c>
      <c r="C22" s="24">
        <v>10.67</v>
      </c>
      <c r="D22" s="24">
        <v>11.59</v>
      </c>
      <c r="E22" s="24">
        <v>3100</v>
      </c>
      <c r="F22" s="24">
        <v>0.56000000000000005</v>
      </c>
      <c r="G22" s="24">
        <v>140</v>
      </c>
      <c r="H22" s="24">
        <v>202</v>
      </c>
      <c r="I22" s="33">
        <v>2300000</v>
      </c>
      <c r="J22" s="125">
        <f>LOG(I$19)-LOG(I22)</f>
        <v>0.78440019966064511</v>
      </c>
      <c r="K22" s="33">
        <v>3000000</v>
      </c>
      <c r="L22" s="24">
        <v>1.39</v>
      </c>
      <c r="M22" s="35"/>
      <c r="N22" s="35"/>
      <c r="O22" s="35"/>
      <c r="P22" s="233">
        <f t="shared" si="0"/>
        <v>28571.428571428572</v>
      </c>
    </row>
    <row r="23" spans="1:19" ht="15.75" thickBot="1" x14ac:dyDescent="0.3">
      <c r="A23" s="32">
        <v>15</v>
      </c>
      <c r="B23" s="24">
        <v>22.7</v>
      </c>
      <c r="C23" s="24">
        <v>10.64</v>
      </c>
      <c r="D23" s="24">
        <v>11.5</v>
      </c>
      <c r="E23" s="24">
        <v>3200</v>
      </c>
      <c r="F23" s="24">
        <v>0.56000000000000005</v>
      </c>
      <c r="G23" s="24">
        <v>130</v>
      </c>
      <c r="H23" s="24">
        <v>224</v>
      </c>
      <c r="I23" s="33">
        <v>78000</v>
      </c>
      <c r="J23" s="125">
        <f>LOG(I$19)-LOG(I23)</f>
        <v>2.2540334329877574</v>
      </c>
      <c r="K23" s="33">
        <v>120000</v>
      </c>
      <c r="L23" s="24">
        <v>2.79</v>
      </c>
      <c r="M23" s="35"/>
      <c r="N23" s="35"/>
      <c r="O23" s="35"/>
      <c r="P23" s="233">
        <f t="shared" si="0"/>
        <v>42857.142857142862</v>
      </c>
    </row>
    <row r="24" spans="1:19" ht="15.75" thickBot="1" x14ac:dyDescent="0.3">
      <c r="A24" s="32">
        <v>30</v>
      </c>
      <c r="B24" s="24">
        <v>22.8</v>
      </c>
      <c r="C24" s="24">
        <v>10.57</v>
      </c>
      <c r="D24" s="24">
        <v>11.45</v>
      </c>
      <c r="E24" s="24">
        <v>3000</v>
      </c>
      <c r="F24" s="24">
        <v>0.54</v>
      </c>
      <c r="G24" s="24">
        <v>140</v>
      </c>
      <c r="H24" s="24">
        <v>219</v>
      </c>
      <c r="I24" s="33">
        <v>0</v>
      </c>
      <c r="J24" s="24" t="s">
        <v>200</v>
      </c>
      <c r="K24" s="33">
        <v>0</v>
      </c>
      <c r="L24" s="24" t="s">
        <v>201</v>
      </c>
      <c r="M24" s="36">
        <v>111</v>
      </c>
      <c r="N24" s="36">
        <v>6312</v>
      </c>
      <c r="O24" s="36">
        <v>2460</v>
      </c>
      <c r="P24" s="233">
        <f t="shared" si="0"/>
        <v>85714.285714285725</v>
      </c>
    </row>
    <row r="25" spans="1:19" s="83" customFormat="1" ht="15.75" thickBot="1" x14ac:dyDescent="0.3">
      <c r="A25" s="76" t="s">
        <v>52</v>
      </c>
      <c r="B25" s="77">
        <v>22.9</v>
      </c>
      <c r="C25" s="77">
        <v>10.56</v>
      </c>
      <c r="D25" s="77">
        <v>11.45</v>
      </c>
      <c r="E25" s="77">
        <v>3000</v>
      </c>
      <c r="F25" s="78">
        <v>0.45</v>
      </c>
      <c r="G25" s="77">
        <v>140</v>
      </c>
      <c r="H25" s="77">
        <v>230</v>
      </c>
      <c r="I25" s="33">
        <v>0</v>
      </c>
      <c r="J25" s="77" t="s">
        <v>200</v>
      </c>
      <c r="K25" s="33">
        <v>0</v>
      </c>
      <c r="L25" s="77" t="s">
        <v>201</v>
      </c>
      <c r="M25" s="36">
        <v>114</v>
      </c>
      <c r="N25" s="36">
        <v>6285</v>
      </c>
      <c r="O25" s="27"/>
      <c r="P25" s="233"/>
      <c r="Q25"/>
      <c r="R25"/>
    </row>
    <row r="26" spans="1:19" x14ac:dyDescent="0.25">
      <c r="A26" s="28"/>
      <c r="B26" s="28">
        <f>AVERAGE(B20:B23)</f>
        <v>22.650000000000002</v>
      </c>
      <c r="C26" s="28">
        <f>AVERAGE(C20:C23)</f>
        <v>10.6775</v>
      </c>
      <c r="D26" s="28"/>
      <c r="E26" s="28"/>
      <c r="F26" s="28"/>
      <c r="G26" s="28"/>
      <c r="H26" s="28"/>
      <c r="I26" s="29"/>
      <c r="J26" s="28">
        <v>7.15</v>
      </c>
      <c r="K26" s="28"/>
      <c r="L26" s="28"/>
      <c r="M26" s="28"/>
      <c r="N26" s="28"/>
      <c r="O26" s="28"/>
    </row>
    <row r="27" spans="1:19" x14ac:dyDescent="0.25">
      <c r="A27" s="28" t="s">
        <v>140</v>
      </c>
      <c r="B27" s="8"/>
      <c r="C27" s="8"/>
      <c r="D27" s="8"/>
      <c r="E27" s="8"/>
      <c r="F27" s="8"/>
      <c r="G27" s="8"/>
      <c r="H27" s="8"/>
      <c r="I27" s="25"/>
      <c r="J27" s="8"/>
      <c r="K27" s="8"/>
      <c r="L27" s="8"/>
      <c r="M27" s="8"/>
      <c r="N27" s="28"/>
      <c r="O27" s="8"/>
    </row>
    <row r="28" spans="1:19" x14ac:dyDescent="0.25">
      <c r="A28" s="28"/>
      <c r="B28" s="28" t="s">
        <v>141</v>
      </c>
      <c r="C28" s="8"/>
      <c r="D28" s="8"/>
      <c r="E28" s="8"/>
      <c r="F28" s="8"/>
      <c r="G28" s="8"/>
      <c r="H28" s="8"/>
      <c r="I28" s="25"/>
      <c r="J28" s="8"/>
      <c r="K28" s="8"/>
      <c r="L28" s="8"/>
      <c r="M28" s="8"/>
      <c r="N28" s="28"/>
      <c r="O28" s="8"/>
    </row>
    <row r="29" spans="1:19" x14ac:dyDescent="0.25">
      <c r="A29" s="28" t="s">
        <v>53</v>
      </c>
      <c r="B29" s="28"/>
      <c r="C29" s="28"/>
      <c r="D29" s="28"/>
      <c r="E29" s="28"/>
      <c r="F29" s="28"/>
      <c r="G29" s="28"/>
      <c r="H29" s="28"/>
      <c r="I29" s="29"/>
      <c r="J29" s="28" t="s">
        <v>34</v>
      </c>
      <c r="K29" s="28"/>
      <c r="L29" s="28" t="s">
        <v>34</v>
      </c>
      <c r="M29" s="28"/>
      <c r="N29" s="28" t="s">
        <v>34</v>
      </c>
      <c r="O29" s="28"/>
    </row>
    <row r="30" spans="1:19" x14ac:dyDescent="0.25">
      <c r="A30" s="59"/>
      <c r="F30" s="28"/>
      <c r="G30" s="28"/>
      <c r="H30" s="28"/>
      <c r="I30" s="29"/>
      <c r="J30" s="28"/>
      <c r="K30" s="28"/>
      <c r="L30" s="28" t="s">
        <v>34</v>
      </c>
      <c r="M30" s="28" t="s">
        <v>34</v>
      </c>
      <c r="N30" s="28"/>
      <c r="O30" s="28"/>
    </row>
    <row r="31" spans="1:19" x14ac:dyDescent="0.25">
      <c r="A31" s="19" t="s">
        <v>28</v>
      </c>
      <c r="B31" s="28"/>
      <c r="C31" s="28"/>
      <c r="D31" s="28"/>
      <c r="E31" s="28"/>
      <c r="F31" s="28"/>
      <c r="G31" s="28"/>
      <c r="H31" s="28"/>
      <c r="I31" s="29"/>
      <c r="J31" s="28"/>
      <c r="K31" s="28" t="s">
        <v>34</v>
      </c>
      <c r="L31" s="28"/>
      <c r="M31" s="28" t="s">
        <v>34</v>
      </c>
      <c r="N31" s="28"/>
      <c r="O31" s="28"/>
    </row>
    <row r="32" spans="1:19" x14ac:dyDescent="0.25">
      <c r="A32" s="28"/>
      <c r="B32" s="22"/>
      <c r="C32" s="28"/>
      <c r="D32" s="28"/>
      <c r="E32" s="28"/>
      <c r="F32" s="28"/>
      <c r="G32" s="28"/>
      <c r="H32" s="28"/>
      <c r="I32" s="29"/>
      <c r="J32" s="28"/>
      <c r="K32" s="28"/>
      <c r="L32" s="28" t="s">
        <v>34</v>
      </c>
      <c r="M32" s="28" t="s">
        <v>34</v>
      </c>
      <c r="N32" s="28"/>
      <c r="O32" s="28"/>
    </row>
    <row r="33" spans="1:15" x14ac:dyDescent="0.25">
      <c r="A33" s="28"/>
      <c r="B33" s="41" t="s">
        <v>235</v>
      </c>
      <c r="C33" s="41"/>
      <c r="D33" s="41"/>
      <c r="E33" s="41"/>
      <c r="F33" s="41"/>
      <c r="G33" s="41"/>
      <c r="H33" s="41"/>
      <c r="I33" s="41"/>
      <c r="J33" s="41"/>
      <c r="K33" s="41"/>
      <c r="L33" s="41" t="s">
        <v>34</v>
      </c>
      <c r="M33" s="28"/>
      <c r="N33" s="28"/>
      <c r="O33" s="28"/>
    </row>
    <row r="34" spans="1:15" x14ac:dyDescent="0.25">
      <c r="A34" s="28"/>
      <c r="B34" s="41"/>
      <c r="C34" s="41"/>
      <c r="D34" s="41"/>
      <c r="E34" s="41"/>
      <c r="F34" s="41"/>
      <c r="G34" s="41"/>
      <c r="H34" s="41"/>
      <c r="I34" s="41"/>
      <c r="J34" s="41"/>
      <c r="K34" s="41"/>
      <c r="L34" s="41"/>
      <c r="M34" s="28"/>
      <c r="N34" s="28"/>
      <c r="O34" s="28"/>
    </row>
    <row r="35" spans="1:15" x14ac:dyDescent="0.25">
      <c r="A35" s="28"/>
      <c r="B35" s="22" t="s">
        <v>146</v>
      </c>
      <c r="C35" s="8"/>
      <c r="D35" s="8"/>
      <c r="E35" s="8"/>
      <c r="F35" s="8"/>
      <c r="G35" s="8"/>
      <c r="H35" s="8"/>
      <c r="I35" s="25"/>
      <c r="J35" s="8"/>
      <c r="K35" s="8"/>
      <c r="L35" s="28"/>
      <c r="M35" s="28"/>
      <c r="N35" s="28"/>
      <c r="O35" s="28"/>
    </row>
    <row r="36" spans="1:15" x14ac:dyDescent="0.25">
      <c r="A36" s="28"/>
      <c r="B36" s="41" t="s">
        <v>222</v>
      </c>
      <c r="M36" s="28"/>
      <c r="N36" s="28"/>
      <c r="O36" s="28"/>
    </row>
    <row r="37" spans="1:15" x14ac:dyDescent="0.25">
      <c r="A37" s="28"/>
      <c r="B37" s="41" t="s">
        <v>223</v>
      </c>
      <c r="M37" s="28"/>
      <c r="N37" s="28"/>
      <c r="O37" s="28"/>
    </row>
    <row r="38" spans="1:15" x14ac:dyDescent="0.25">
      <c r="A38" s="28"/>
      <c r="B38" s="69" t="s">
        <v>227</v>
      </c>
      <c r="C38" s="70"/>
      <c r="D38" s="70"/>
      <c r="E38" s="70"/>
      <c r="F38" s="70"/>
      <c r="G38" s="70"/>
      <c r="H38" s="70"/>
      <c r="I38" s="71"/>
      <c r="J38" s="70"/>
      <c r="K38" s="70"/>
      <c r="L38" s="28"/>
      <c r="M38" s="28"/>
      <c r="N38" s="28"/>
      <c r="O38" s="28"/>
    </row>
    <row r="39" spans="1:15" x14ac:dyDescent="0.25">
      <c r="A39" s="28"/>
      <c r="B39" s="79" t="s">
        <v>213</v>
      </c>
      <c r="C39" s="72"/>
      <c r="D39" s="72"/>
      <c r="E39" s="72"/>
      <c r="F39" s="72"/>
      <c r="G39" s="72"/>
      <c r="H39" s="72"/>
      <c r="I39" s="72"/>
      <c r="J39" s="72"/>
      <c r="K39" s="72"/>
      <c r="N39" s="28"/>
      <c r="O39" s="28"/>
    </row>
    <row r="40" spans="1:15" x14ac:dyDescent="0.25">
      <c r="A40" s="28"/>
      <c r="B40" s="75" t="s">
        <v>36</v>
      </c>
      <c r="C40" s="8"/>
      <c r="D40" s="8"/>
      <c r="E40" s="8"/>
      <c r="F40" s="8"/>
      <c r="G40" s="8"/>
      <c r="H40" s="8"/>
      <c r="I40" s="25"/>
      <c r="J40" s="8"/>
      <c r="K40" s="8"/>
      <c r="L40" s="28"/>
      <c r="N40" s="28"/>
      <c r="O40" s="28"/>
    </row>
    <row r="41" spans="1:15" x14ac:dyDescent="0.25">
      <c r="A41" s="28"/>
      <c r="B41" s="22" t="s">
        <v>133</v>
      </c>
      <c r="L41" s="28"/>
      <c r="N41" s="28"/>
      <c r="O41" s="28"/>
    </row>
    <row r="42" spans="1:15" x14ac:dyDescent="0.25">
      <c r="A42" s="28"/>
      <c r="B42" s="22" t="s">
        <v>220</v>
      </c>
      <c r="L42" s="28"/>
      <c r="M42" s="28"/>
      <c r="N42" s="28"/>
      <c r="O42" s="28" t="s">
        <v>34</v>
      </c>
    </row>
    <row r="43" spans="1:15" x14ac:dyDescent="0.25">
      <c r="B43" s="41" t="s">
        <v>215</v>
      </c>
      <c r="M43" s="28"/>
      <c r="N43" s="28"/>
      <c r="O43" s="28"/>
    </row>
    <row r="44" spans="1:15" x14ac:dyDescent="0.25">
      <c r="B44" s="41" t="s">
        <v>231</v>
      </c>
      <c r="C44" s="64"/>
      <c r="D44" s="64"/>
      <c r="E44" s="64"/>
      <c r="F44" s="64"/>
      <c r="G44" s="64"/>
      <c r="H44" s="64"/>
      <c r="I44" s="64"/>
      <c r="J44" s="64"/>
      <c r="K44" s="64"/>
      <c r="L44" s="65"/>
      <c r="N44" s="28"/>
      <c r="O44" s="28"/>
    </row>
    <row r="45" spans="1:15" x14ac:dyDescent="0.25">
      <c r="B45" s="41" t="s">
        <v>221</v>
      </c>
      <c r="C45" s="64"/>
      <c r="D45" s="64"/>
      <c r="E45" s="64"/>
      <c r="F45" s="64"/>
      <c r="G45" s="64"/>
      <c r="H45" s="64"/>
      <c r="I45" s="64"/>
      <c r="J45" s="64"/>
      <c r="K45" s="64"/>
      <c r="L45" s="65"/>
    </row>
    <row r="46" spans="1:15" x14ac:dyDescent="0.25">
      <c r="B46" s="22" t="s">
        <v>237</v>
      </c>
      <c r="C46" s="8"/>
      <c r="D46" s="8"/>
      <c r="E46" s="8"/>
      <c r="F46" s="8"/>
      <c r="G46" s="8"/>
      <c r="H46" s="8"/>
      <c r="I46" s="25"/>
      <c r="J46" s="8"/>
      <c r="K46" s="8"/>
    </row>
    <row r="47" spans="1:15" x14ac:dyDescent="0.25">
      <c r="B47" s="22"/>
      <c r="C47" s="8"/>
      <c r="D47" s="8"/>
      <c r="E47" s="8"/>
      <c r="F47" s="8"/>
      <c r="G47" s="8"/>
      <c r="H47" s="8"/>
      <c r="I47" s="25"/>
      <c r="J47" s="8"/>
      <c r="K47" s="8"/>
      <c r="O47" t="s">
        <v>34</v>
      </c>
    </row>
    <row r="48" spans="1:15" x14ac:dyDescent="0.25">
      <c r="B48" s="41" t="s">
        <v>154</v>
      </c>
      <c r="C48" s="41"/>
      <c r="D48" s="41"/>
      <c r="E48" s="41"/>
      <c r="F48" s="41"/>
      <c r="G48" s="41"/>
      <c r="H48" s="41"/>
      <c r="I48" s="41"/>
      <c r="J48" s="41"/>
      <c r="K48" s="41"/>
      <c r="N48" t="s">
        <v>34</v>
      </c>
    </row>
    <row r="49" spans="2:11" x14ac:dyDescent="0.25">
      <c r="B49" s="41" t="s">
        <v>155</v>
      </c>
      <c r="C49" s="41"/>
      <c r="D49" s="41"/>
      <c r="E49" s="41"/>
      <c r="F49" s="41"/>
      <c r="G49" s="41"/>
      <c r="H49" s="41"/>
      <c r="I49" s="41"/>
      <c r="J49" s="41"/>
      <c r="K49" s="41"/>
    </row>
    <row r="50" spans="2:11" x14ac:dyDescent="0.25">
      <c r="B50" s="22" t="s">
        <v>157</v>
      </c>
      <c r="C50" s="28"/>
      <c r="D50" s="28"/>
      <c r="E50" s="28"/>
      <c r="F50" s="28"/>
      <c r="G50" s="28"/>
      <c r="H50" s="29"/>
      <c r="I50" s="28"/>
      <c r="J50" s="41"/>
      <c r="K50" s="28"/>
    </row>
  </sheetData>
  <pageMargins left="0.7" right="0.7" top="0.75" bottom="0.75" header="0.3" footer="0.3"/>
  <pageSetup scale="64" orientation="landscape" verticalDpi="597" r:id="rId1"/>
  <ignoredErrors>
    <ignoredError sqref="B26:C26" formulaRange="1"/>
  </ignoredError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996633"/>
    <pageSetUpPr fitToPage="1"/>
  </sheetPr>
  <dimension ref="A6:S51"/>
  <sheetViews>
    <sheetView zoomScale="98" zoomScaleNormal="98" workbookViewId="0"/>
  </sheetViews>
  <sheetFormatPr defaultRowHeight="15" x14ac:dyDescent="0.25"/>
  <cols>
    <col min="2" max="2" width="10.7109375" bestFit="1"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40973</v>
      </c>
    </row>
    <row r="8" spans="1:15" x14ac:dyDescent="0.25">
      <c r="A8" s="28" t="s">
        <v>14</v>
      </c>
      <c r="B8" s="28">
        <v>19</v>
      </c>
      <c r="C8" s="28" t="s">
        <v>489</v>
      </c>
      <c r="D8" s="28"/>
      <c r="E8" s="28"/>
      <c r="F8" s="28"/>
      <c r="G8" s="28"/>
      <c r="H8" s="28"/>
      <c r="I8" s="29"/>
      <c r="J8" s="28"/>
      <c r="K8" s="28" t="s">
        <v>34</v>
      </c>
      <c r="L8" s="28" t="s">
        <v>34</v>
      </c>
      <c r="M8" s="28"/>
      <c r="N8" s="28"/>
      <c r="O8" s="28"/>
    </row>
    <row r="9" spans="1:15" x14ac:dyDescent="0.25">
      <c r="A9" s="28" t="s">
        <v>15</v>
      </c>
      <c r="B9" s="28">
        <v>10</v>
      </c>
      <c r="C9" s="28" t="s">
        <v>240</v>
      </c>
      <c r="D9" s="28"/>
      <c r="E9" s="28"/>
      <c r="F9" s="28"/>
      <c r="G9" s="28"/>
      <c r="H9" s="28"/>
      <c r="I9" s="29"/>
      <c r="J9" s="28"/>
      <c r="K9" s="28"/>
      <c r="L9" s="28"/>
      <c r="M9" s="28"/>
      <c r="N9" s="28"/>
      <c r="O9" s="28"/>
    </row>
    <row r="10" spans="1:15" x14ac:dyDescent="0.25">
      <c r="A10" s="28" t="s">
        <v>16</v>
      </c>
      <c r="B10" s="31">
        <v>2000</v>
      </c>
      <c r="C10" s="28" t="s">
        <v>695</v>
      </c>
      <c r="D10" s="28"/>
      <c r="E10" s="28"/>
      <c r="F10" s="28"/>
      <c r="G10" s="28"/>
      <c r="H10" s="28"/>
      <c r="I10" s="29" t="s">
        <v>34</v>
      </c>
      <c r="J10" s="28" t="s">
        <v>34</v>
      </c>
      <c r="K10" s="28" t="s">
        <v>34</v>
      </c>
      <c r="L10" s="28" t="s">
        <v>34</v>
      </c>
      <c r="M10" s="28" t="s">
        <v>34</v>
      </c>
      <c r="N10" s="28" t="s">
        <v>34</v>
      </c>
      <c r="O10" s="28"/>
    </row>
    <row r="11" spans="1:15" x14ac:dyDescent="0.25">
      <c r="A11" s="28"/>
      <c r="B11" s="238">
        <v>200000000</v>
      </c>
      <c r="C11" s="28" t="s">
        <v>708</v>
      </c>
      <c r="D11" s="28"/>
      <c r="E11" s="28"/>
      <c r="F11" s="28"/>
      <c r="G11" s="28"/>
      <c r="H11" s="28"/>
      <c r="I11" s="29"/>
      <c r="J11" s="28"/>
      <c r="K11" s="28" t="s">
        <v>34</v>
      </c>
      <c r="L11" s="28"/>
      <c r="M11" s="28"/>
      <c r="N11" s="28"/>
      <c r="O11" s="28"/>
    </row>
    <row r="12" spans="1:15" x14ac:dyDescent="0.25">
      <c r="A12" s="28"/>
      <c r="B12" s="31">
        <v>95</v>
      </c>
      <c r="C12" s="28" t="s">
        <v>707</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37"/>
      <c r="J13" s="28"/>
      <c r="K13" s="28"/>
      <c r="L13" s="28"/>
      <c r="M13" s="28"/>
      <c r="N13" s="28"/>
      <c r="O13" s="28"/>
    </row>
    <row r="14" spans="1:15" x14ac:dyDescent="0.25">
      <c r="A14" s="28"/>
      <c r="B14" s="31">
        <v>100</v>
      </c>
      <c r="C14" s="87" t="s">
        <v>696</v>
      </c>
      <c r="D14" s="28"/>
      <c r="E14" s="28"/>
      <c r="F14" s="28"/>
      <c r="G14" s="28"/>
      <c r="H14" s="28"/>
      <c r="I14" s="237"/>
      <c r="J14" s="28"/>
      <c r="K14" s="28"/>
      <c r="L14" s="28"/>
      <c r="M14" s="28"/>
      <c r="N14" s="28"/>
      <c r="O14" s="28"/>
    </row>
    <row r="15" spans="1:15" x14ac:dyDescent="0.25">
      <c r="A15" s="28"/>
      <c r="B15" s="31">
        <v>0</v>
      </c>
      <c r="C15" s="87" t="s">
        <v>698</v>
      </c>
      <c r="D15" s="28"/>
      <c r="E15" s="28"/>
      <c r="F15" s="28"/>
      <c r="G15" s="28"/>
      <c r="H15" s="28"/>
      <c r="I15" s="237"/>
      <c r="J15" s="28"/>
      <c r="K15" s="28"/>
      <c r="L15" s="28"/>
      <c r="M15" s="28"/>
      <c r="N15" s="28"/>
      <c r="O15" s="28"/>
    </row>
    <row r="16" spans="1:15" x14ac:dyDescent="0.25">
      <c r="A16" s="28"/>
      <c r="B16" s="232">
        <f>(B12*B13/100*1000)/(B10+B12-B14+B15)*1000</f>
        <v>2857.1428571428573</v>
      </c>
      <c r="C16" s="28" t="s">
        <v>700</v>
      </c>
      <c r="D16" s="28"/>
      <c r="E16" s="28"/>
      <c r="F16" s="28"/>
      <c r="G16" s="28"/>
      <c r="H16" s="28"/>
      <c r="I16" s="237"/>
      <c r="J16" s="28"/>
      <c r="K16" s="28"/>
      <c r="L16" s="28"/>
      <c r="M16" s="28"/>
      <c r="N16" s="28"/>
      <c r="O16" s="28"/>
    </row>
    <row r="17" spans="1:19" ht="15.75" thickBot="1" x14ac:dyDescent="0.3">
      <c r="A17" s="28"/>
      <c r="B17" s="28"/>
      <c r="C17" s="28" t="s">
        <v>705</v>
      </c>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2.9</v>
      </c>
      <c r="C19" s="23">
        <v>8.1999999999999993</v>
      </c>
      <c r="D19" s="23">
        <v>8.5</v>
      </c>
      <c r="E19" s="23">
        <v>0</v>
      </c>
      <c r="F19" s="23">
        <v>0</v>
      </c>
      <c r="G19" s="23">
        <v>850</v>
      </c>
      <c r="H19" s="23">
        <v>6590</v>
      </c>
      <c r="I19" s="33">
        <v>9100000</v>
      </c>
      <c r="J19" s="125">
        <f t="shared" ref="J19:J26" si="0">LOG(I$19)-LOG(I19)</f>
        <v>0</v>
      </c>
      <c r="K19" s="33">
        <v>15000000</v>
      </c>
      <c r="L19" s="23" t="s">
        <v>26</v>
      </c>
      <c r="M19" s="34"/>
      <c r="N19" s="34"/>
      <c r="O19" s="35"/>
      <c r="P19" s="233">
        <f t="shared" ref="P19:P25" si="1">B$16*A19</f>
        <v>0</v>
      </c>
      <c r="Q19" s="233">
        <f>6/LINEST(J19:J25,P19:P25,FALSE)</f>
        <v>280458.0051542974</v>
      </c>
      <c r="R19" s="233">
        <f>Q19/3000</f>
        <v>93.486001718099132</v>
      </c>
      <c r="S19" s="233">
        <f>(J27/LINEST($J19:$J25,$P19:$P25,FALSE))/$B$16</f>
        <v>75.256231383069803</v>
      </c>
    </row>
    <row r="20" spans="1:19" ht="15.75" thickBot="1" x14ac:dyDescent="0.3">
      <c r="A20" s="32">
        <v>3</v>
      </c>
      <c r="B20" s="24">
        <v>3.7</v>
      </c>
      <c r="C20" s="24">
        <v>9.83</v>
      </c>
      <c r="D20" s="24">
        <v>11.55</v>
      </c>
      <c r="E20" s="24">
        <v>2600</v>
      </c>
      <c r="F20" s="24">
        <v>0.88</v>
      </c>
      <c r="G20" s="24">
        <v>950</v>
      </c>
      <c r="H20" s="24">
        <v>6440</v>
      </c>
      <c r="I20" s="33">
        <v>6300000</v>
      </c>
      <c r="J20" s="125">
        <f t="shared" si="0"/>
        <v>0.15970084286751174</v>
      </c>
      <c r="K20" s="33">
        <v>74000000</v>
      </c>
      <c r="L20" s="24" t="s">
        <v>35</v>
      </c>
      <c r="M20" s="35"/>
      <c r="N20" s="35"/>
      <c r="O20" s="35"/>
      <c r="P20" s="233">
        <f t="shared" si="1"/>
        <v>8571.4285714285725</v>
      </c>
    </row>
    <row r="21" spans="1:19" ht="15.75" thickBot="1" x14ac:dyDescent="0.3">
      <c r="A21" s="32">
        <v>5</v>
      </c>
      <c r="B21" s="24">
        <v>3.6</v>
      </c>
      <c r="C21" s="24">
        <v>9.8800000000000008</v>
      </c>
      <c r="D21" s="24">
        <v>11.57</v>
      </c>
      <c r="E21" s="24" t="s">
        <v>35</v>
      </c>
      <c r="F21" s="24">
        <v>0.91</v>
      </c>
      <c r="G21" s="24">
        <v>550</v>
      </c>
      <c r="H21" s="24"/>
      <c r="I21" s="33">
        <v>6000000</v>
      </c>
      <c r="J21" s="125">
        <f t="shared" si="0"/>
        <v>0.18089014193745001</v>
      </c>
      <c r="K21" s="33">
        <v>10000000</v>
      </c>
      <c r="L21" s="24">
        <v>0.18</v>
      </c>
      <c r="M21" s="35"/>
      <c r="N21" s="35"/>
      <c r="O21" s="35"/>
      <c r="P21" s="233">
        <f t="shared" si="1"/>
        <v>14285.714285714286</v>
      </c>
    </row>
    <row r="22" spans="1:19" ht="15.75" thickBot="1" x14ac:dyDescent="0.3">
      <c r="A22" s="32">
        <v>10</v>
      </c>
      <c r="B22" s="24">
        <v>3.5</v>
      </c>
      <c r="C22" s="24">
        <v>9.91</v>
      </c>
      <c r="D22" s="24">
        <v>11.65</v>
      </c>
      <c r="E22" s="24" t="s">
        <v>35</v>
      </c>
      <c r="F22" s="24">
        <v>1.1200000000000001</v>
      </c>
      <c r="G22" s="24">
        <v>750</v>
      </c>
      <c r="H22" s="24"/>
      <c r="I22" s="33">
        <v>6500000</v>
      </c>
      <c r="J22" s="125">
        <f t="shared" si="0"/>
        <v>0.14612803567823818</v>
      </c>
      <c r="K22" s="33">
        <v>8800000</v>
      </c>
      <c r="L22" s="24">
        <v>0.23</v>
      </c>
      <c r="M22" s="35"/>
      <c r="N22" s="35"/>
      <c r="O22" s="35"/>
      <c r="P22" s="233">
        <f t="shared" si="1"/>
        <v>28571.428571428572</v>
      </c>
    </row>
    <row r="23" spans="1:19" ht="15.75" thickBot="1" x14ac:dyDescent="0.3">
      <c r="A23" s="32">
        <v>15</v>
      </c>
      <c r="B23" s="24">
        <v>3.5</v>
      </c>
      <c r="C23" s="24">
        <v>9.89</v>
      </c>
      <c r="D23" s="24">
        <v>11.67</v>
      </c>
      <c r="E23" s="24">
        <v>2200</v>
      </c>
      <c r="F23" s="24" t="s">
        <v>35</v>
      </c>
      <c r="G23" s="24">
        <v>700</v>
      </c>
      <c r="H23" s="24"/>
      <c r="I23" s="33">
        <v>6700000</v>
      </c>
      <c r="J23" s="125">
        <f t="shared" si="0"/>
        <v>0.13296658962026786</v>
      </c>
      <c r="K23" s="33">
        <v>6200000</v>
      </c>
      <c r="L23" s="24">
        <v>0.38</v>
      </c>
      <c r="M23" s="35"/>
      <c r="N23" s="35"/>
      <c r="O23" s="35"/>
      <c r="P23" s="233">
        <f t="shared" si="1"/>
        <v>42857.142857142862</v>
      </c>
    </row>
    <row r="24" spans="1:19" ht="15.75" thickBot="1" x14ac:dyDescent="0.3">
      <c r="A24" s="32">
        <v>30</v>
      </c>
      <c r="B24" s="24">
        <v>3.5</v>
      </c>
      <c r="C24" s="24">
        <v>9.84</v>
      </c>
      <c r="D24" s="24">
        <v>11.72</v>
      </c>
      <c r="E24" s="24">
        <v>2600</v>
      </c>
      <c r="F24" s="24" t="s">
        <v>35</v>
      </c>
      <c r="G24" s="24">
        <v>500</v>
      </c>
      <c r="H24" s="24"/>
      <c r="I24" s="33">
        <v>2200000</v>
      </c>
      <c r="J24" s="125">
        <f t="shared" si="0"/>
        <v>0.61661871149888725</v>
      </c>
      <c r="K24" s="33">
        <v>2500000</v>
      </c>
      <c r="L24" s="24">
        <v>0.78</v>
      </c>
      <c r="M24" s="36"/>
      <c r="N24" s="36"/>
      <c r="O24" s="35"/>
      <c r="P24" s="233">
        <f t="shared" si="1"/>
        <v>85714.285714285725</v>
      </c>
    </row>
    <row r="25" spans="1:19" ht="15.75" thickBot="1" x14ac:dyDescent="0.3">
      <c r="A25" s="32">
        <v>60</v>
      </c>
      <c r="B25" s="24">
        <v>3.3</v>
      </c>
      <c r="C25" s="24">
        <v>9.7899999999999991</v>
      </c>
      <c r="D25" s="24">
        <v>11.71</v>
      </c>
      <c r="E25" s="24">
        <v>2500</v>
      </c>
      <c r="F25" s="58" t="s">
        <v>35</v>
      </c>
      <c r="G25" s="24">
        <v>500</v>
      </c>
      <c r="H25" s="24">
        <v>6230</v>
      </c>
      <c r="I25" s="33">
        <v>250</v>
      </c>
      <c r="J25" s="125">
        <f t="shared" si="0"/>
        <v>4.5611013836490564</v>
      </c>
      <c r="K25" s="33">
        <v>0</v>
      </c>
      <c r="L25" s="24" t="s">
        <v>241</v>
      </c>
      <c r="M25" s="36">
        <v>260</v>
      </c>
      <c r="N25" s="60">
        <v>8370</v>
      </c>
      <c r="O25" s="27">
        <v>2260</v>
      </c>
      <c r="P25" s="233">
        <f t="shared" si="1"/>
        <v>171428.57142857145</v>
      </c>
    </row>
    <row r="26" spans="1:19" ht="15.75" thickBot="1" x14ac:dyDescent="0.3">
      <c r="A26" s="86" t="s">
        <v>242</v>
      </c>
      <c r="B26" s="36">
        <v>3.3</v>
      </c>
      <c r="C26" s="36">
        <v>9.77</v>
      </c>
      <c r="D26" s="36">
        <v>11.69</v>
      </c>
      <c r="E26" s="36">
        <v>2600</v>
      </c>
      <c r="F26" s="36" t="s">
        <v>35</v>
      </c>
      <c r="G26" s="36">
        <v>700</v>
      </c>
      <c r="H26" s="36">
        <v>6110</v>
      </c>
      <c r="I26" s="33">
        <v>250</v>
      </c>
      <c r="J26" s="125">
        <f t="shared" si="0"/>
        <v>4.5611013836490564</v>
      </c>
      <c r="K26" s="33">
        <v>0</v>
      </c>
      <c r="L26" s="24" t="s">
        <v>241</v>
      </c>
      <c r="M26" s="36">
        <v>250</v>
      </c>
      <c r="N26" s="60">
        <v>8380</v>
      </c>
      <c r="O26" s="35"/>
      <c r="P26" s="233"/>
    </row>
    <row r="27" spans="1:19" x14ac:dyDescent="0.25">
      <c r="B27">
        <f>AVERAGE(B20:B25)</f>
        <v>3.5166666666666671</v>
      </c>
      <c r="C27">
        <f>AVERAGE(C20:C25)</f>
        <v>9.8566666666666674</v>
      </c>
      <c r="E27" s="155">
        <f>AVERAGE(E20:E25)</f>
        <v>2475</v>
      </c>
      <c r="F27" s="155">
        <f>_xlfn.STDEV.P(E20:E25)</f>
        <v>163.93596310755001</v>
      </c>
      <c r="J27">
        <v>4.5999999999999996</v>
      </c>
      <c r="N27" s="28"/>
      <c r="O27" s="28"/>
    </row>
    <row r="28" spans="1:19" x14ac:dyDescent="0.25">
      <c r="A28" s="28" t="s">
        <v>140</v>
      </c>
      <c r="B28" s="28"/>
      <c r="C28" s="28"/>
      <c r="D28" s="28"/>
      <c r="E28" s="28"/>
      <c r="F28" s="28"/>
      <c r="G28" s="28"/>
      <c r="H28" s="28"/>
      <c r="I28" s="29"/>
      <c r="J28" s="28"/>
      <c r="K28" s="28"/>
      <c r="L28" s="28"/>
      <c r="M28" s="28"/>
      <c r="N28" s="28"/>
      <c r="O28" s="28"/>
    </row>
    <row r="29" spans="1:19" x14ac:dyDescent="0.25">
      <c r="A29" s="28"/>
      <c r="B29" s="28" t="s">
        <v>141</v>
      </c>
      <c r="C29" s="28"/>
      <c r="D29" s="28"/>
      <c r="E29" s="28"/>
      <c r="F29" s="28"/>
      <c r="G29" s="28"/>
      <c r="H29" s="28"/>
      <c r="I29" s="29"/>
      <c r="J29" s="28"/>
      <c r="K29" s="28"/>
      <c r="L29" s="28"/>
      <c r="M29" s="28"/>
      <c r="N29" s="28" t="s">
        <v>34</v>
      </c>
      <c r="O29" s="28"/>
    </row>
    <row r="30" spans="1:19" x14ac:dyDescent="0.25">
      <c r="A30" s="28" t="s">
        <v>263</v>
      </c>
      <c r="B30" s="28"/>
      <c r="C30" s="28"/>
      <c r="D30" s="28"/>
      <c r="E30" s="28"/>
      <c r="F30" s="28"/>
      <c r="G30" s="28"/>
      <c r="H30" s="28"/>
      <c r="I30" s="29"/>
      <c r="J30" s="28" t="s">
        <v>34</v>
      </c>
      <c r="K30" s="28"/>
      <c r="L30" s="28" t="s">
        <v>34</v>
      </c>
      <c r="M30" s="28"/>
      <c r="N30" s="28"/>
      <c r="O30" s="28"/>
    </row>
    <row r="31" spans="1:19" x14ac:dyDescent="0.25">
      <c r="A31" s="59"/>
      <c r="F31" s="28"/>
      <c r="G31" s="28"/>
      <c r="H31" s="28"/>
      <c r="I31" s="29"/>
      <c r="J31" s="28"/>
      <c r="K31" s="28"/>
      <c r="L31" s="28" t="s">
        <v>34</v>
      </c>
      <c r="M31" s="28" t="s">
        <v>34</v>
      </c>
      <c r="N31" s="28"/>
      <c r="O31" s="28"/>
    </row>
    <row r="32" spans="1:19" x14ac:dyDescent="0.25">
      <c r="A32" s="19" t="s">
        <v>28</v>
      </c>
      <c r="B32" s="28"/>
      <c r="C32" s="28"/>
      <c r="D32" s="28"/>
      <c r="E32" s="28"/>
      <c r="F32" s="28"/>
      <c r="G32" s="28"/>
      <c r="H32" s="28"/>
      <c r="I32" s="29"/>
      <c r="J32" s="28"/>
      <c r="K32" s="28" t="s">
        <v>34</v>
      </c>
      <c r="L32" s="28"/>
      <c r="M32" s="28" t="s">
        <v>34</v>
      </c>
      <c r="N32" s="28"/>
      <c r="O32" s="28"/>
    </row>
    <row r="33" spans="1:15" x14ac:dyDescent="0.25">
      <c r="A33" s="28"/>
      <c r="B33" s="22"/>
      <c r="C33" s="28"/>
      <c r="D33" s="28"/>
      <c r="E33" s="28"/>
      <c r="F33" s="28"/>
      <c r="G33" s="28"/>
      <c r="H33" s="28"/>
      <c r="I33" s="29"/>
      <c r="J33" s="28"/>
      <c r="K33" s="28"/>
      <c r="L33" s="28" t="s">
        <v>34</v>
      </c>
      <c r="M33" s="28" t="s">
        <v>34</v>
      </c>
      <c r="N33" s="28"/>
      <c r="O33" s="28"/>
    </row>
    <row r="34" spans="1:15" x14ac:dyDescent="0.25">
      <c r="A34" s="28"/>
      <c r="B34" s="41" t="s">
        <v>261</v>
      </c>
      <c r="C34" s="41"/>
      <c r="D34" s="41"/>
      <c r="E34" s="41"/>
      <c r="F34" s="41"/>
      <c r="G34" s="41"/>
      <c r="H34" s="41"/>
      <c r="I34" s="41"/>
      <c r="J34" s="41"/>
      <c r="K34" s="41"/>
      <c r="L34" s="41" t="s">
        <v>34</v>
      </c>
      <c r="M34" s="28"/>
      <c r="N34" s="28"/>
      <c r="O34" s="28"/>
    </row>
    <row r="35" spans="1:15" x14ac:dyDescent="0.25">
      <c r="A35" s="28"/>
      <c r="B35" s="41"/>
      <c r="C35" s="41"/>
      <c r="D35" s="41"/>
      <c r="E35" s="41"/>
      <c r="F35" s="41"/>
      <c r="G35" s="41"/>
      <c r="H35" s="41"/>
      <c r="I35" s="41"/>
      <c r="J35" s="41"/>
      <c r="K35" s="41"/>
      <c r="L35" s="41"/>
      <c r="M35" s="28"/>
      <c r="N35" s="28"/>
      <c r="O35" s="28"/>
    </row>
    <row r="36" spans="1:15" x14ac:dyDescent="0.25">
      <c r="A36" s="28"/>
      <c r="B36" s="22" t="s">
        <v>146</v>
      </c>
      <c r="C36" s="28"/>
      <c r="D36" s="28"/>
      <c r="E36" s="28"/>
      <c r="F36" s="28"/>
      <c r="G36" s="28"/>
      <c r="H36" s="28"/>
      <c r="I36" s="29"/>
      <c r="J36" s="28"/>
      <c r="K36" s="28"/>
      <c r="L36" s="28"/>
      <c r="M36" s="28" t="s">
        <v>34</v>
      </c>
      <c r="N36" s="28"/>
      <c r="O36" s="28"/>
    </row>
    <row r="37" spans="1:15" x14ac:dyDescent="0.25">
      <c r="A37" s="28"/>
      <c r="B37" s="41" t="s">
        <v>222</v>
      </c>
      <c r="C37" s="41"/>
      <c r="D37" s="41"/>
      <c r="E37" s="41"/>
      <c r="F37" s="41"/>
      <c r="G37" s="41"/>
      <c r="H37" s="41"/>
      <c r="I37" s="41"/>
      <c r="J37" s="41"/>
      <c r="K37" s="41"/>
      <c r="M37" s="28"/>
      <c r="N37" s="28"/>
      <c r="O37" s="28"/>
    </row>
    <row r="38" spans="1:15" x14ac:dyDescent="0.25">
      <c r="A38" s="28"/>
      <c r="B38" s="41" t="s">
        <v>223</v>
      </c>
      <c r="C38" s="41"/>
      <c r="D38" s="41"/>
      <c r="E38" s="41"/>
      <c r="F38" s="41"/>
      <c r="G38" s="41"/>
      <c r="H38" s="41"/>
      <c r="I38" s="41"/>
      <c r="J38" s="41"/>
      <c r="K38" s="41"/>
      <c r="M38" s="28"/>
      <c r="N38" s="28"/>
      <c r="O38" s="28"/>
    </row>
    <row r="39" spans="1:15" x14ac:dyDescent="0.25">
      <c r="A39" s="28"/>
      <c r="B39" s="69" t="s">
        <v>156</v>
      </c>
      <c r="C39" s="87"/>
      <c r="D39" s="87"/>
      <c r="E39" s="87"/>
      <c r="F39" s="87"/>
      <c r="G39" s="87"/>
      <c r="H39" s="87"/>
      <c r="I39" s="88"/>
      <c r="J39" s="87"/>
      <c r="K39" s="87"/>
      <c r="L39" s="28"/>
      <c r="M39" s="28"/>
      <c r="N39" s="28"/>
      <c r="O39" s="28"/>
    </row>
    <row r="40" spans="1:15" x14ac:dyDescent="0.25">
      <c r="A40" s="28"/>
      <c r="B40" s="75" t="s">
        <v>36</v>
      </c>
      <c r="C40" s="28"/>
      <c r="D40" s="28"/>
      <c r="E40" s="28"/>
      <c r="F40" s="28"/>
      <c r="G40" s="28"/>
      <c r="H40" s="28"/>
      <c r="I40" s="29"/>
      <c r="J40" s="28"/>
      <c r="K40" s="28"/>
      <c r="N40" s="28"/>
      <c r="O40" s="28"/>
    </row>
    <row r="41" spans="1:15" x14ac:dyDescent="0.25">
      <c r="A41" s="28"/>
      <c r="B41" s="22" t="s">
        <v>133</v>
      </c>
      <c r="L41" s="28"/>
      <c r="N41" s="28"/>
      <c r="O41" s="28"/>
    </row>
    <row r="42" spans="1:15" x14ac:dyDescent="0.25">
      <c r="A42" s="28"/>
      <c r="B42" s="22" t="s">
        <v>262</v>
      </c>
      <c r="L42" s="28"/>
      <c r="N42" s="28"/>
      <c r="O42" s="28" t="s">
        <v>34</v>
      </c>
    </row>
    <row r="43" spans="1:15" x14ac:dyDescent="0.25">
      <c r="A43" s="28"/>
      <c r="L43" s="28"/>
      <c r="M43" s="28"/>
      <c r="N43" s="28"/>
      <c r="O43" s="28"/>
    </row>
    <row r="44" spans="1:15" x14ac:dyDescent="0.25">
      <c r="B44" s="41" t="s">
        <v>243</v>
      </c>
      <c r="C44" s="64"/>
      <c r="D44" s="64"/>
      <c r="E44" s="64"/>
      <c r="F44" s="64"/>
      <c r="G44" s="64"/>
      <c r="H44" s="64"/>
      <c r="I44" s="64"/>
      <c r="J44" s="64"/>
      <c r="K44" s="64"/>
      <c r="L44" s="65"/>
      <c r="M44" s="28"/>
      <c r="N44" s="28"/>
      <c r="O44" s="28"/>
    </row>
    <row r="45" spans="1:15" x14ac:dyDescent="0.25">
      <c r="B45" s="41" t="s">
        <v>244</v>
      </c>
      <c r="C45" s="41"/>
      <c r="D45" s="41"/>
      <c r="E45" s="41"/>
      <c r="F45" s="41"/>
      <c r="G45" s="41"/>
      <c r="H45" s="41"/>
      <c r="I45" s="41"/>
      <c r="J45" s="41"/>
      <c r="K45" s="41"/>
      <c r="L45" s="41"/>
    </row>
    <row r="46" spans="1:15" x14ac:dyDescent="0.25">
      <c r="B46" s="22" t="s">
        <v>245</v>
      </c>
      <c r="C46" s="28"/>
      <c r="D46" s="28"/>
      <c r="E46" s="28"/>
      <c r="F46" s="28"/>
      <c r="G46" s="28"/>
      <c r="H46" s="28"/>
      <c r="I46" s="29"/>
      <c r="J46" s="28"/>
      <c r="K46" s="41"/>
      <c r="L46" s="41"/>
    </row>
    <row r="47" spans="1:15" x14ac:dyDescent="0.25">
      <c r="B47" s="41"/>
      <c r="C47" s="64"/>
      <c r="D47" s="64"/>
      <c r="E47" s="64"/>
      <c r="F47" s="64"/>
      <c r="G47" s="64"/>
      <c r="H47" s="64"/>
      <c r="I47" s="64"/>
      <c r="J47" s="64"/>
      <c r="K47" s="64"/>
      <c r="L47" s="65"/>
      <c r="O47" t="s">
        <v>34</v>
      </c>
    </row>
    <row r="48" spans="1:15" x14ac:dyDescent="0.25">
      <c r="B48" s="41" t="s">
        <v>154</v>
      </c>
      <c r="C48" s="41"/>
      <c r="D48" s="41"/>
      <c r="E48" s="41"/>
      <c r="F48" s="41"/>
      <c r="G48" s="41"/>
      <c r="H48" s="41"/>
      <c r="I48" s="41"/>
      <c r="J48" s="41"/>
      <c r="K48" s="41"/>
      <c r="N48" t="s">
        <v>34</v>
      </c>
    </row>
    <row r="49" spans="2:14" x14ac:dyDescent="0.25">
      <c r="B49" s="41" t="s">
        <v>155</v>
      </c>
      <c r="C49" s="41"/>
      <c r="D49" s="41"/>
      <c r="E49" s="41"/>
      <c r="F49" s="41"/>
      <c r="G49" s="41"/>
      <c r="H49" s="41"/>
      <c r="I49" s="41"/>
      <c r="J49" s="41"/>
      <c r="K49" s="41"/>
    </row>
    <row r="50" spans="2:14" x14ac:dyDescent="0.25">
      <c r="B50" s="22" t="s">
        <v>157</v>
      </c>
      <c r="C50" s="28"/>
      <c r="D50" s="28"/>
      <c r="E50" s="28"/>
      <c r="F50" s="28"/>
      <c r="G50" s="28"/>
      <c r="H50" s="29"/>
      <c r="I50" s="28"/>
      <c r="J50" s="41"/>
      <c r="K50" s="28"/>
    </row>
    <row r="51" spans="2:14" x14ac:dyDescent="0.25">
      <c r="N51" t="s">
        <v>34</v>
      </c>
    </row>
  </sheetData>
  <pageMargins left="0.7" right="0.7" top="0.75" bottom="0.75" header="0.3" footer="0.3"/>
  <pageSetup scale="62" orientation="landscape" verticalDpi="597"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rgb="FF996633"/>
    <pageSetUpPr fitToPage="1"/>
  </sheetPr>
  <dimension ref="A1:S51"/>
  <sheetViews>
    <sheetView zoomScale="90" zoomScaleNormal="90" workbookViewId="0"/>
  </sheetViews>
  <sheetFormatPr defaultRowHeight="15" x14ac:dyDescent="0.25"/>
  <cols>
    <col min="2" max="2" width="10.7109375" bestFit="1" customWidth="1"/>
  </cols>
  <sheetData>
    <row r="1" spans="1:15" x14ac:dyDescent="0.25">
      <c r="A1" s="7" t="s">
        <v>12</v>
      </c>
      <c r="B1" s="28"/>
      <c r="C1" s="28"/>
      <c r="D1" s="28"/>
      <c r="E1" s="28"/>
      <c r="F1" s="28"/>
      <c r="G1" s="28"/>
      <c r="H1" s="28"/>
      <c r="I1" s="29"/>
      <c r="J1" s="28"/>
      <c r="K1" s="28"/>
      <c r="L1" s="28"/>
      <c r="M1" s="28"/>
      <c r="N1" s="28"/>
      <c r="O1" s="28"/>
    </row>
    <row r="2" spans="1:15" x14ac:dyDescent="0.25">
      <c r="A2" s="30" t="s">
        <v>13</v>
      </c>
      <c r="B2" s="30">
        <v>40976</v>
      </c>
    </row>
    <row r="3" spans="1:15" x14ac:dyDescent="0.25">
      <c r="A3" s="28" t="s">
        <v>14</v>
      </c>
      <c r="B3" s="28">
        <v>20</v>
      </c>
      <c r="C3" s="28" t="s">
        <v>490</v>
      </c>
      <c r="D3" s="28"/>
      <c r="E3" s="28"/>
      <c r="F3" s="28"/>
      <c r="G3" s="28"/>
      <c r="H3" s="28"/>
      <c r="I3" s="29"/>
      <c r="J3" s="28"/>
      <c r="K3" s="28" t="s">
        <v>34</v>
      </c>
      <c r="L3" s="28" t="s">
        <v>34</v>
      </c>
      <c r="M3" s="28"/>
      <c r="N3" s="28"/>
      <c r="O3" s="28"/>
    </row>
    <row r="4" spans="1:15" x14ac:dyDescent="0.25">
      <c r="A4" s="28"/>
      <c r="B4" s="28"/>
      <c r="C4" s="28"/>
      <c r="D4" s="28"/>
      <c r="E4" s="28"/>
      <c r="F4" s="28"/>
      <c r="G4" s="28"/>
      <c r="H4" s="28"/>
      <c r="I4" s="258"/>
      <c r="J4" s="28"/>
      <c r="K4" s="28"/>
      <c r="L4" s="28"/>
      <c r="M4" s="28"/>
      <c r="N4" s="28"/>
      <c r="O4" s="28"/>
    </row>
    <row r="5" spans="1:15" x14ac:dyDescent="0.25">
      <c r="A5" s="28"/>
      <c r="B5" s="28"/>
      <c r="C5" s="28"/>
      <c r="D5" s="28"/>
      <c r="E5" s="28"/>
      <c r="F5" s="28"/>
      <c r="G5" s="28"/>
      <c r="H5" s="28"/>
      <c r="I5" s="258"/>
      <c r="J5" s="28"/>
      <c r="K5" s="28"/>
      <c r="L5" s="28"/>
      <c r="M5" s="28"/>
      <c r="N5" s="28"/>
      <c r="O5" s="28"/>
    </row>
    <row r="6" spans="1:15" x14ac:dyDescent="0.25">
      <c r="A6" s="28"/>
      <c r="B6" s="28"/>
      <c r="C6" s="28"/>
      <c r="D6" s="28"/>
      <c r="E6" s="28"/>
      <c r="F6" s="28"/>
      <c r="G6" s="28"/>
      <c r="H6" s="28"/>
      <c r="I6" s="258"/>
      <c r="J6" s="28"/>
      <c r="K6" s="28"/>
      <c r="L6" s="28"/>
      <c r="M6" s="28"/>
      <c r="N6" s="28"/>
      <c r="O6" s="28"/>
    </row>
    <row r="7" spans="1:15" x14ac:dyDescent="0.25">
      <c r="A7" s="28"/>
      <c r="B7" s="28"/>
      <c r="C7" s="28"/>
      <c r="D7" s="28"/>
      <c r="E7" s="28"/>
      <c r="F7" s="28"/>
      <c r="G7" s="28"/>
      <c r="H7" s="28"/>
      <c r="I7" s="258"/>
      <c r="J7" s="28"/>
      <c r="K7" s="28"/>
      <c r="L7" s="28"/>
      <c r="M7" s="28"/>
      <c r="N7" s="28"/>
      <c r="O7" s="28"/>
    </row>
    <row r="8" spans="1:15" x14ac:dyDescent="0.25">
      <c r="A8" s="28"/>
      <c r="B8" s="28"/>
      <c r="C8" s="28"/>
      <c r="D8" s="28"/>
      <c r="E8" s="28"/>
      <c r="F8" s="28"/>
      <c r="G8" s="28"/>
      <c r="H8" s="28"/>
      <c r="I8" s="258"/>
      <c r="J8" s="28"/>
      <c r="K8" s="28"/>
      <c r="L8" s="28"/>
      <c r="M8" s="28"/>
      <c r="N8" s="28"/>
      <c r="O8" s="28"/>
    </row>
    <row r="9" spans="1:15" x14ac:dyDescent="0.25">
      <c r="A9" s="28" t="s">
        <v>15</v>
      </c>
      <c r="B9" s="28">
        <v>10</v>
      </c>
      <c r="C9" s="28" t="s">
        <v>240</v>
      </c>
      <c r="D9" s="28"/>
      <c r="E9" s="28"/>
      <c r="F9" s="28"/>
      <c r="G9" s="28"/>
      <c r="H9" s="28"/>
      <c r="I9" s="29"/>
      <c r="J9" s="28"/>
      <c r="K9" s="28"/>
      <c r="L9" s="28"/>
      <c r="M9" s="28"/>
      <c r="N9" s="28"/>
      <c r="O9" s="28"/>
    </row>
    <row r="10" spans="1:15" x14ac:dyDescent="0.25">
      <c r="A10" s="28" t="s">
        <v>16</v>
      </c>
      <c r="B10" s="31">
        <v>2000</v>
      </c>
      <c r="C10" s="28" t="s">
        <v>695</v>
      </c>
      <c r="D10" s="28"/>
      <c r="E10" s="28"/>
      <c r="F10" s="28"/>
      <c r="G10" s="28"/>
      <c r="H10" s="28"/>
      <c r="I10" s="29" t="s">
        <v>34</v>
      </c>
      <c r="J10" s="28" t="s">
        <v>34</v>
      </c>
      <c r="K10" s="28" t="s">
        <v>34</v>
      </c>
      <c r="L10" s="28" t="s">
        <v>34</v>
      </c>
      <c r="M10" s="28" t="s">
        <v>34</v>
      </c>
      <c r="N10" s="28" t="s">
        <v>34</v>
      </c>
      <c r="O10" s="28"/>
    </row>
    <row r="11" spans="1:15" x14ac:dyDescent="0.25">
      <c r="A11" s="28"/>
      <c r="B11" s="238">
        <v>200000000</v>
      </c>
      <c r="C11" s="28" t="s">
        <v>709</v>
      </c>
      <c r="D11" s="28"/>
      <c r="E11" s="28"/>
      <c r="F11" s="28"/>
      <c r="G11" s="28"/>
      <c r="H11" s="28"/>
      <c r="I11" s="29"/>
      <c r="J11" s="28"/>
      <c r="K11" s="28" t="s">
        <v>34</v>
      </c>
      <c r="L11" s="28"/>
      <c r="M11" s="28"/>
      <c r="N11" s="28"/>
      <c r="O11" s="28"/>
    </row>
    <row r="12" spans="1:15" x14ac:dyDescent="0.25">
      <c r="A12" s="28"/>
      <c r="B12" s="31">
        <v>95</v>
      </c>
      <c r="C12" s="28" t="s">
        <v>707</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37"/>
      <c r="J13" s="28"/>
      <c r="K13" s="28"/>
      <c r="L13" s="28"/>
      <c r="M13" s="28"/>
      <c r="N13" s="28"/>
      <c r="O13" s="28"/>
    </row>
    <row r="14" spans="1:15" x14ac:dyDescent="0.25">
      <c r="A14" s="28"/>
      <c r="B14" s="31">
        <v>100</v>
      </c>
      <c r="C14" s="87" t="s">
        <v>696</v>
      </c>
      <c r="D14" s="28"/>
      <c r="E14" s="28"/>
      <c r="F14" s="28"/>
      <c r="G14" s="28"/>
      <c r="H14" s="28"/>
      <c r="I14" s="237"/>
      <c r="J14" s="28"/>
      <c r="K14" s="28"/>
      <c r="L14" s="28"/>
      <c r="M14" s="28"/>
      <c r="N14" s="28"/>
      <c r="O14" s="28"/>
    </row>
    <row r="15" spans="1:15" x14ac:dyDescent="0.25">
      <c r="A15" s="28"/>
      <c r="B15" s="31">
        <v>0</v>
      </c>
      <c r="C15" s="87" t="s">
        <v>698</v>
      </c>
      <c r="D15" s="28"/>
      <c r="E15" s="28"/>
      <c r="F15" s="28"/>
      <c r="G15" s="28"/>
      <c r="H15" s="28"/>
      <c r="I15" s="237"/>
      <c r="J15" s="28"/>
      <c r="K15" s="28"/>
      <c r="L15" s="28"/>
      <c r="M15" s="28"/>
      <c r="N15" s="28"/>
      <c r="O15" s="28"/>
    </row>
    <row r="16" spans="1:15" x14ac:dyDescent="0.25">
      <c r="A16" s="28"/>
      <c r="B16" s="232">
        <f>(B12*B13/100*1000)/(B10+B12-B14+B15)*1000</f>
        <v>2857.1428571428573</v>
      </c>
      <c r="C16" s="28" t="s">
        <v>700</v>
      </c>
      <c r="D16" s="28"/>
      <c r="E16" s="28"/>
      <c r="F16" s="28"/>
      <c r="G16" s="28"/>
      <c r="H16" s="28"/>
      <c r="I16" s="237"/>
      <c r="J16" s="28"/>
      <c r="K16" s="28"/>
      <c r="L16" s="28"/>
      <c r="M16" s="28"/>
      <c r="N16" s="28"/>
      <c r="O16" s="28"/>
    </row>
    <row r="17" spans="1:19" ht="15.75" thickBot="1" x14ac:dyDescent="0.3">
      <c r="A17" s="28"/>
      <c r="B17" s="28"/>
      <c r="C17" s="28" t="s">
        <v>705</v>
      </c>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3.5</v>
      </c>
      <c r="C19" s="23">
        <v>8.58</v>
      </c>
      <c r="D19" s="23">
        <v>8.56</v>
      </c>
      <c r="E19" s="23">
        <v>0</v>
      </c>
      <c r="F19" s="23">
        <v>0</v>
      </c>
      <c r="G19" s="23">
        <v>600</v>
      </c>
      <c r="H19" s="23">
        <v>7020</v>
      </c>
      <c r="I19" s="33">
        <v>10000000</v>
      </c>
      <c r="J19" s="50">
        <f t="shared" ref="J19:J26" si="0">LOG(I$19)-LOG(I19)</f>
        <v>0</v>
      </c>
      <c r="K19" s="33">
        <v>13000000</v>
      </c>
      <c r="L19" s="23" t="s">
        <v>26</v>
      </c>
      <c r="M19" s="34"/>
      <c r="N19" s="34"/>
      <c r="O19" s="35"/>
      <c r="P19" s="233">
        <f t="shared" ref="P19:P25" si="1">B$16*A19</f>
        <v>0</v>
      </c>
      <c r="Q19" s="233">
        <f>6/LINEST(J19:J25,P19:P25,FALSE)</f>
        <v>270233.58218024974</v>
      </c>
      <c r="R19" s="233">
        <f>Q19/3000</f>
        <v>90.077860726749918</v>
      </c>
      <c r="S19" s="233">
        <f>(J27/LINEST($J19:$J25,$P19:$P25,FALSE))/$B$16</f>
        <v>75.980675523013545</v>
      </c>
    </row>
    <row r="20" spans="1:19" ht="15.75" thickBot="1" x14ac:dyDescent="0.3">
      <c r="A20" s="32">
        <v>3</v>
      </c>
      <c r="B20" s="24">
        <v>4.2</v>
      </c>
      <c r="C20" s="24">
        <v>10.3</v>
      </c>
      <c r="D20" s="24">
        <v>11.69</v>
      </c>
      <c r="E20" s="24">
        <v>2500</v>
      </c>
      <c r="F20" s="24">
        <v>0.86</v>
      </c>
      <c r="G20" s="24">
        <v>500</v>
      </c>
      <c r="H20" s="24">
        <v>6880</v>
      </c>
      <c r="I20" s="33">
        <v>6300000</v>
      </c>
      <c r="J20" s="50">
        <f t="shared" si="0"/>
        <v>0.20065945054641787</v>
      </c>
      <c r="K20" s="33">
        <v>11000000</v>
      </c>
      <c r="L20" s="24">
        <v>7.0000000000000007E-2</v>
      </c>
      <c r="M20" s="35"/>
      <c r="N20" s="35"/>
      <c r="O20" s="35"/>
      <c r="P20" s="233">
        <f t="shared" si="1"/>
        <v>8571.4285714285725</v>
      </c>
    </row>
    <row r="21" spans="1:19" ht="15.75" thickBot="1" x14ac:dyDescent="0.3">
      <c r="A21" s="32">
        <v>5</v>
      </c>
      <c r="B21" s="24">
        <v>4.2</v>
      </c>
      <c r="C21" s="24">
        <v>10.29</v>
      </c>
      <c r="D21" s="24">
        <v>11.7</v>
      </c>
      <c r="E21" s="24">
        <v>2500</v>
      </c>
      <c r="F21" s="24">
        <v>1.19</v>
      </c>
      <c r="G21" s="24">
        <v>380</v>
      </c>
      <c r="H21" s="24"/>
      <c r="I21" s="33">
        <v>8200000</v>
      </c>
      <c r="J21" s="50">
        <f t="shared" si="0"/>
        <v>8.6186147616283293E-2</v>
      </c>
      <c r="K21" s="33">
        <v>9900000</v>
      </c>
      <c r="L21" s="24">
        <v>0.12</v>
      </c>
      <c r="M21" s="35"/>
      <c r="N21" s="35"/>
      <c r="O21" s="35"/>
      <c r="P21" s="233">
        <f t="shared" si="1"/>
        <v>14285.714285714286</v>
      </c>
    </row>
    <row r="22" spans="1:19" ht="15.75" thickBot="1" x14ac:dyDescent="0.3">
      <c r="A22" s="32">
        <v>10</v>
      </c>
      <c r="B22" s="24">
        <v>4.0999999999999996</v>
      </c>
      <c r="C22" s="24">
        <v>10.27</v>
      </c>
      <c r="D22" s="24">
        <v>11.65</v>
      </c>
      <c r="E22" s="24">
        <v>2400</v>
      </c>
      <c r="F22" s="24">
        <v>1.23</v>
      </c>
      <c r="G22" s="24">
        <v>550</v>
      </c>
      <c r="H22" s="24"/>
      <c r="I22" s="33">
        <v>8700000</v>
      </c>
      <c r="J22" s="50">
        <f t="shared" si="0"/>
        <v>6.0480747381381761E-2</v>
      </c>
      <c r="K22" s="33">
        <v>9500000</v>
      </c>
      <c r="L22" s="24">
        <v>0.14000000000000001</v>
      </c>
      <c r="M22" s="35"/>
      <c r="N22" s="35"/>
      <c r="O22" s="35"/>
      <c r="P22" s="233">
        <f t="shared" si="1"/>
        <v>28571.428571428572</v>
      </c>
    </row>
    <row r="23" spans="1:19" ht="15.75" thickBot="1" x14ac:dyDescent="0.3">
      <c r="A23" s="32">
        <v>15</v>
      </c>
      <c r="B23" s="24">
        <v>4.2</v>
      </c>
      <c r="C23" s="24">
        <v>10.26</v>
      </c>
      <c r="D23" s="24">
        <v>11.67</v>
      </c>
      <c r="E23" s="24">
        <v>2500</v>
      </c>
      <c r="F23" s="24">
        <v>1.44</v>
      </c>
      <c r="G23" s="24">
        <v>500</v>
      </c>
      <c r="H23" s="24"/>
      <c r="I23" s="33">
        <v>7000000</v>
      </c>
      <c r="J23" s="50">
        <f t="shared" si="0"/>
        <v>0.15490195998574308</v>
      </c>
      <c r="K23" s="33">
        <v>8900000</v>
      </c>
      <c r="L23" s="24">
        <v>0.16</v>
      </c>
      <c r="M23" s="35"/>
      <c r="N23" s="35"/>
      <c r="O23" s="35"/>
      <c r="P23" s="233">
        <f t="shared" si="1"/>
        <v>42857.142857142862</v>
      </c>
    </row>
    <row r="24" spans="1:19" ht="15.75" thickBot="1" x14ac:dyDescent="0.3">
      <c r="A24" s="32">
        <v>30</v>
      </c>
      <c r="B24" s="24">
        <v>4</v>
      </c>
      <c r="C24" s="24">
        <v>10.25</v>
      </c>
      <c r="D24" s="24">
        <v>11.79</v>
      </c>
      <c r="E24" s="24">
        <v>2600</v>
      </c>
      <c r="F24" s="24">
        <v>0.45</v>
      </c>
      <c r="G24" s="24">
        <v>500</v>
      </c>
      <c r="H24" s="24"/>
      <c r="I24" s="33">
        <v>3200000</v>
      </c>
      <c r="J24" s="50">
        <f t="shared" si="0"/>
        <v>0.49485002168009373</v>
      </c>
      <c r="K24" s="33">
        <v>3400000</v>
      </c>
      <c r="L24" s="24">
        <v>0.57999999999999996</v>
      </c>
      <c r="M24" s="36"/>
      <c r="N24" s="36"/>
      <c r="O24" s="35"/>
      <c r="P24" s="233">
        <f t="shared" si="1"/>
        <v>85714.285714285725</v>
      </c>
    </row>
    <row r="25" spans="1:19" ht="15.75" thickBot="1" x14ac:dyDescent="0.3">
      <c r="A25" s="32">
        <v>60</v>
      </c>
      <c r="B25" s="24">
        <v>3.8</v>
      </c>
      <c r="C25" s="24">
        <v>10.18</v>
      </c>
      <c r="D25" s="24">
        <v>11.93</v>
      </c>
      <c r="E25" s="24">
        <v>2500</v>
      </c>
      <c r="F25" s="58">
        <v>0.44</v>
      </c>
      <c r="G25" s="24">
        <v>500</v>
      </c>
      <c r="H25" s="24">
        <v>6830</v>
      </c>
      <c r="I25" s="33">
        <v>150</v>
      </c>
      <c r="J25" s="50">
        <f t="shared" si="0"/>
        <v>4.8239087409443187</v>
      </c>
      <c r="K25" s="33">
        <v>0</v>
      </c>
      <c r="L25" s="24" t="s">
        <v>176</v>
      </c>
      <c r="M25" s="36">
        <v>205</v>
      </c>
      <c r="N25" s="36">
        <v>8255</v>
      </c>
      <c r="O25" s="27">
        <v>2120</v>
      </c>
      <c r="P25" s="233">
        <f t="shared" si="1"/>
        <v>171428.57142857145</v>
      </c>
    </row>
    <row r="26" spans="1:19" ht="15.75" thickBot="1" x14ac:dyDescent="0.3">
      <c r="A26" s="86" t="s">
        <v>242</v>
      </c>
      <c r="B26" s="36">
        <v>3.8</v>
      </c>
      <c r="C26" s="36">
        <v>10.18</v>
      </c>
      <c r="D26" s="36">
        <v>11.93</v>
      </c>
      <c r="E26" s="36">
        <v>2400</v>
      </c>
      <c r="F26" s="36">
        <v>0.97</v>
      </c>
      <c r="G26" s="36">
        <v>500</v>
      </c>
      <c r="H26" s="36">
        <v>6550</v>
      </c>
      <c r="I26" s="33">
        <v>100</v>
      </c>
      <c r="J26" s="50">
        <f t="shared" si="0"/>
        <v>5</v>
      </c>
      <c r="K26" s="33">
        <v>0</v>
      </c>
      <c r="L26" s="24" t="s">
        <v>176</v>
      </c>
      <c r="M26" s="36">
        <v>235</v>
      </c>
      <c r="N26" s="36">
        <v>8285</v>
      </c>
      <c r="O26" s="35"/>
      <c r="P26" s="233"/>
    </row>
    <row r="27" spans="1:19" x14ac:dyDescent="0.25">
      <c r="B27">
        <f>AVERAGE(B20:B24)</f>
        <v>4.1399999999999997</v>
      </c>
      <c r="C27">
        <f>AVERAGE(C20:C24)</f>
        <v>10.273999999999999</v>
      </c>
      <c r="E27" s="155">
        <f>AVERAGE(E20:E25)</f>
        <v>2500</v>
      </c>
      <c r="F27" s="155">
        <f>_xlfn.STDEV.P(E20:E25)</f>
        <v>57.735026918962575</v>
      </c>
      <c r="J27">
        <v>4.82</v>
      </c>
      <c r="N27" s="28"/>
      <c r="O27" s="28"/>
    </row>
    <row r="28" spans="1:19" x14ac:dyDescent="0.25">
      <c r="A28" s="28" t="s">
        <v>140</v>
      </c>
      <c r="B28" s="28"/>
      <c r="C28" s="28"/>
      <c r="D28" s="28"/>
      <c r="E28" s="28"/>
      <c r="F28" s="28"/>
      <c r="G28" s="28"/>
      <c r="H28" s="28"/>
      <c r="I28" s="29"/>
      <c r="J28" s="28"/>
      <c r="K28" s="28"/>
      <c r="L28" s="28"/>
      <c r="M28" s="28"/>
      <c r="N28" s="28"/>
      <c r="O28" s="28"/>
    </row>
    <row r="29" spans="1:19" x14ac:dyDescent="0.25">
      <c r="A29" s="28"/>
      <c r="B29" s="28" t="s">
        <v>141</v>
      </c>
      <c r="C29" s="28"/>
      <c r="D29" s="28"/>
      <c r="E29" s="28"/>
      <c r="F29" s="28"/>
      <c r="G29" s="28"/>
      <c r="H29" s="28"/>
      <c r="I29" s="29"/>
      <c r="J29" s="28"/>
      <c r="K29" s="28"/>
      <c r="L29" s="28"/>
      <c r="M29" s="28"/>
      <c r="N29" s="28" t="s">
        <v>34</v>
      </c>
      <c r="O29" s="28"/>
    </row>
    <row r="30" spans="1:19" x14ac:dyDescent="0.25">
      <c r="A30" s="28" t="s">
        <v>264</v>
      </c>
      <c r="B30" s="28"/>
      <c r="C30" s="28"/>
      <c r="D30" s="28"/>
      <c r="E30" s="28"/>
      <c r="F30" s="28"/>
      <c r="G30" s="28"/>
      <c r="H30" s="28"/>
      <c r="I30" s="29"/>
      <c r="J30" s="28" t="s">
        <v>34</v>
      </c>
      <c r="K30" s="28"/>
      <c r="L30" s="28" t="s">
        <v>34</v>
      </c>
      <c r="M30" s="28"/>
      <c r="N30" s="28"/>
      <c r="O30" s="28"/>
    </row>
    <row r="31" spans="1:19" x14ac:dyDescent="0.25">
      <c r="A31" s="59"/>
      <c r="F31" s="28"/>
      <c r="G31" s="28"/>
      <c r="H31" s="28"/>
      <c r="I31" s="29"/>
      <c r="J31" s="28"/>
      <c r="K31" s="28"/>
      <c r="L31" s="28" t="s">
        <v>34</v>
      </c>
      <c r="M31" s="28" t="s">
        <v>34</v>
      </c>
      <c r="N31" s="28"/>
      <c r="O31" s="28"/>
    </row>
    <row r="32" spans="1:19" x14ac:dyDescent="0.25">
      <c r="A32" s="19" t="s">
        <v>28</v>
      </c>
      <c r="B32" s="28"/>
      <c r="C32" s="28"/>
      <c r="D32" s="28"/>
      <c r="E32" s="28"/>
      <c r="F32" s="28"/>
      <c r="G32" s="28"/>
      <c r="H32" s="28"/>
      <c r="I32" s="29"/>
      <c r="J32" s="28"/>
      <c r="K32" s="28" t="s">
        <v>34</v>
      </c>
      <c r="L32" s="28"/>
      <c r="M32" s="28" t="s">
        <v>34</v>
      </c>
      <c r="N32" s="28"/>
      <c r="O32" s="28"/>
    </row>
    <row r="33" spans="1:15" x14ac:dyDescent="0.25">
      <c r="A33" s="28"/>
      <c r="B33" s="22"/>
      <c r="C33" s="28"/>
      <c r="D33" s="28"/>
      <c r="E33" s="28"/>
      <c r="F33" s="28"/>
      <c r="G33" s="28"/>
      <c r="H33" s="28"/>
      <c r="I33" s="29"/>
      <c r="J33" s="28"/>
      <c r="K33" s="28"/>
      <c r="L33" s="28" t="s">
        <v>34</v>
      </c>
      <c r="M33" s="28" t="s">
        <v>34</v>
      </c>
      <c r="N33" s="28"/>
      <c r="O33" s="28"/>
    </row>
    <row r="34" spans="1:15" x14ac:dyDescent="0.25">
      <c r="A34" s="28"/>
      <c r="B34" s="41" t="s">
        <v>246</v>
      </c>
      <c r="C34" s="41"/>
      <c r="D34" s="41"/>
      <c r="E34" s="41"/>
      <c r="F34" s="41"/>
      <c r="G34" s="41"/>
      <c r="H34" s="41"/>
      <c r="I34" s="41"/>
      <c r="J34" s="41"/>
      <c r="K34" s="41"/>
      <c r="L34" s="41" t="s">
        <v>34</v>
      </c>
      <c r="M34" s="28"/>
      <c r="N34" s="28"/>
      <c r="O34" s="28"/>
    </row>
    <row r="35" spans="1:15" x14ac:dyDescent="0.25">
      <c r="A35" s="28"/>
      <c r="B35" s="41"/>
      <c r="C35" s="41"/>
      <c r="D35" s="41"/>
      <c r="E35" s="41"/>
      <c r="F35" s="41"/>
      <c r="G35" s="41"/>
      <c r="H35" s="41"/>
      <c r="I35" s="41"/>
      <c r="J35" s="41"/>
      <c r="K35" s="41"/>
      <c r="L35" s="41"/>
      <c r="M35" s="28"/>
      <c r="N35" s="28"/>
      <c r="O35" s="28"/>
    </row>
    <row r="36" spans="1:15" x14ac:dyDescent="0.25">
      <c r="A36" s="28"/>
      <c r="B36" s="22" t="s">
        <v>146</v>
      </c>
      <c r="C36" s="28"/>
      <c r="D36" s="28"/>
      <c r="E36" s="28"/>
      <c r="F36" s="28"/>
      <c r="G36" s="28"/>
      <c r="H36" s="28"/>
      <c r="I36" s="29"/>
      <c r="J36" s="28"/>
      <c r="K36" s="28"/>
      <c r="L36" s="28"/>
      <c r="M36" s="28" t="s">
        <v>34</v>
      </c>
      <c r="N36" s="28"/>
      <c r="O36" s="28"/>
    </row>
    <row r="37" spans="1:15" x14ac:dyDescent="0.25">
      <c r="A37" s="28"/>
      <c r="B37" s="41" t="s">
        <v>222</v>
      </c>
      <c r="C37" s="41"/>
      <c r="D37" s="41"/>
      <c r="E37" s="41"/>
      <c r="F37" s="41"/>
      <c r="G37" s="41"/>
      <c r="H37" s="41"/>
      <c r="I37" s="41"/>
      <c r="J37" s="41"/>
      <c r="K37" s="41"/>
      <c r="M37" s="28"/>
      <c r="N37" s="28"/>
      <c r="O37" s="28"/>
    </row>
    <row r="38" spans="1:15" x14ac:dyDescent="0.25">
      <c r="A38" s="28"/>
      <c r="B38" s="41" t="s">
        <v>223</v>
      </c>
      <c r="C38" s="41"/>
      <c r="D38" s="41"/>
      <c r="E38" s="41"/>
      <c r="F38" s="41"/>
      <c r="G38" s="41"/>
      <c r="H38" s="41"/>
      <c r="I38" s="41"/>
      <c r="J38" s="41"/>
      <c r="K38" s="41"/>
      <c r="M38" s="28"/>
      <c r="N38" s="28"/>
      <c r="O38" s="28"/>
    </row>
    <row r="39" spans="1:15" x14ac:dyDescent="0.25">
      <c r="A39" s="28"/>
      <c r="B39" s="69" t="s">
        <v>156</v>
      </c>
      <c r="C39" s="87"/>
      <c r="D39" s="87"/>
      <c r="E39" s="87"/>
      <c r="F39" s="87"/>
      <c r="G39" s="87"/>
      <c r="H39" s="87"/>
      <c r="I39" s="88"/>
      <c r="J39" s="87"/>
      <c r="K39" s="87"/>
      <c r="L39" s="28"/>
      <c r="M39" s="28"/>
      <c r="N39" s="28"/>
      <c r="O39" s="28"/>
    </row>
    <row r="40" spans="1:15" x14ac:dyDescent="0.25">
      <c r="A40" s="28"/>
      <c r="B40" s="75" t="s">
        <v>36</v>
      </c>
      <c r="C40" s="28"/>
      <c r="D40" s="28"/>
      <c r="E40" s="28"/>
      <c r="F40" s="28"/>
      <c r="G40" s="28"/>
      <c r="H40" s="28"/>
      <c r="I40" s="29"/>
      <c r="J40" s="28"/>
      <c r="K40" s="28"/>
      <c r="N40" s="28"/>
      <c r="O40" s="28"/>
    </row>
    <row r="41" spans="1:15" x14ac:dyDescent="0.25">
      <c r="A41" s="28"/>
      <c r="B41" s="22" t="s">
        <v>133</v>
      </c>
      <c r="L41" s="28"/>
      <c r="N41" s="28"/>
      <c r="O41" s="28"/>
    </row>
    <row r="42" spans="1:15" x14ac:dyDescent="0.25">
      <c r="A42" s="28"/>
      <c r="B42" s="22" t="s">
        <v>265</v>
      </c>
      <c r="L42" s="28"/>
      <c r="N42" s="28"/>
      <c r="O42" s="28" t="s">
        <v>34</v>
      </c>
    </row>
    <row r="43" spans="1:15" x14ac:dyDescent="0.25">
      <c r="A43" s="28"/>
      <c r="B43" s="22" t="s">
        <v>266</v>
      </c>
      <c r="L43" s="28"/>
      <c r="M43" s="28"/>
      <c r="N43" s="28"/>
      <c r="O43" s="28"/>
    </row>
    <row r="44" spans="1:15" x14ac:dyDescent="0.25">
      <c r="B44" s="41" t="s">
        <v>247</v>
      </c>
      <c r="C44" s="64"/>
      <c r="D44" s="64"/>
      <c r="E44" s="64"/>
      <c r="F44" s="64"/>
      <c r="G44" s="64"/>
      <c r="H44" s="64"/>
      <c r="I44" s="64"/>
      <c r="J44" s="64"/>
      <c r="K44" s="64"/>
      <c r="L44" s="65"/>
      <c r="M44" s="28"/>
      <c r="N44" s="28"/>
      <c r="O44" s="28"/>
    </row>
    <row r="45" spans="1:15" x14ac:dyDescent="0.25">
      <c r="B45" s="41" t="s">
        <v>244</v>
      </c>
      <c r="C45" s="41"/>
      <c r="D45" s="41"/>
      <c r="E45" s="41"/>
      <c r="F45" s="41"/>
      <c r="G45" s="41"/>
      <c r="H45" s="41"/>
      <c r="I45" s="41"/>
      <c r="J45" s="41"/>
      <c r="K45" s="41"/>
      <c r="L45" s="41"/>
    </row>
    <row r="46" spans="1:15" x14ac:dyDescent="0.25">
      <c r="B46" s="22" t="s">
        <v>245</v>
      </c>
      <c r="C46" s="28"/>
      <c r="D46" s="28"/>
      <c r="E46" s="28"/>
      <c r="F46" s="28"/>
      <c r="G46" s="28"/>
      <c r="H46" s="28"/>
      <c r="I46" s="29"/>
      <c r="J46" s="28"/>
      <c r="K46" s="41"/>
      <c r="L46" s="41"/>
    </row>
    <row r="47" spans="1:15" x14ac:dyDescent="0.25">
      <c r="B47" s="41"/>
      <c r="C47" s="64"/>
      <c r="D47" s="64"/>
      <c r="E47" s="64"/>
      <c r="F47" s="64"/>
      <c r="G47" s="64"/>
      <c r="H47" s="64"/>
      <c r="I47" s="64"/>
      <c r="J47" s="64"/>
      <c r="K47" s="64"/>
      <c r="L47" s="65"/>
      <c r="O47" t="s">
        <v>34</v>
      </c>
    </row>
    <row r="48" spans="1:15" x14ac:dyDescent="0.25">
      <c r="B48" s="41" t="s">
        <v>154</v>
      </c>
      <c r="C48" s="41"/>
      <c r="D48" s="41"/>
      <c r="E48" s="41"/>
      <c r="F48" s="41"/>
      <c r="G48" s="41"/>
      <c r="H48" s="41"/>
      <c r="I48" s="41"/>
      <c r="J48" s="41"/>
      <c r="K48" s="41"/>
      <c r="N48" t="s">
        <v>34</v>
      </c>
    </row>
    <row r="49" spans="2:14" x14ac:dyDescent="0.25">
      <c r="B49" s="41" t="s">
        <v>155</v>
      </c>
      <c r="C49" s="41"/>
      <c r="D49" s="41"/>
      <c r="E49" s="41"/>
      <c r="F49" s="41"/>
      <c r="G49" s="41"/>
      <c r="H49" s="41"/>
      <c r="I49" s="41"/>
      <c r="J49" s="41"/>
      <c r="K49" s="41"/>
    </row>
    <row r="50" spans="2:14" x14ac:dyDescent="0.25">
      <c r="B50" s="22" t="s">
        <v>157</v>
      </c>
      <c r="C50" s="28"/>
      <c r="D50" s="28"/>
      <c r="E50" s="28"/>
      <c r="F50" s="28"/>
      <c r="G50" s="28"/>
      <c r="H50" s="29"/>
      <c r="I50" s="28"/>
      <c r="J50" s="41"/>
      <c r="K50" s="28"/>
    </row>
    <row r="51" spans="2:14" x14ac:dyDescent="0.25">
      <c r="N51" t="s">
        <v>34</v>
      </c>
    </row>
  </sheetData>
  <pageMargins left="0.7" right="0.7" top="0.75" bottom="0.75" header="0.3" footer="0.3"/>
  <pageSetup scale="62" orientation="landscape" verticalDpi="597"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996633"/>
    <pageSetUpPr fitToPage="1"/>
  </sheetPr>
  <dimension ref="A6:S51"/>
  <sheetViews>
    <sheetView zoomScale="90" zoomScaleNormal="90" workbookViewId="0"/>
  </sheetViews>
  <sheetFormatPr defaultRowHeight="15" x14ac:dyDescent="0.25"/>
  <cols>
    <col min="2" max="2" width="11.85546875" customWidth="1"/>
    <col min="17" max="18" width="10.140625"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40980</v>
      </c>
    </row>
    <row r="8" spans="1:15" x14ac:dyDescent="0.25">
      <c r="A8" s="28" t="s">
        <v>14</v>
      </c>
      <c r="B8" s="28">
        <v>21</v>
      </c>
      <c r="C8" s="28" t="s">
        <v>491</v>
      </c>
      <c r="D8" s="28"/>
      <c r="E8" s="28"/>
      <c r="F8" s="28"/>
      <c r="G8" s="28"/>
      <c r="H8" s="28"/>
      <c r="I8" s="29"/>
      <c r="J8" s="28"/>
      <c r="K8" s="28" t="s">
        <v>34</v>
      </c>
      <c r="L8" s="28" t="s">
        <v>34</v>
      </c>
      <c r="M8" s="28"/>
      <c r="N8" s="28"/>
      <c r="O8" s="28"/>
    </row>
    <row r="9" spans="1:15" x14ac:dyDescent="0.25">
      <c r="A9" s="28" t="s">
        <v>15</v>
      </c>
      <c r="B9" s="28">
        <v>10</v>
      </c>
      <c r="C9" s="28" t="s">
        <v>240</v>
      </c>
      <c r="D9" s="28"/>
      <c r="E9" s="28"/>
      <c r="F9" s="28"/>
      <c r="G9" s="28"/>
      <c r="H9" s="28"/>
      <c r="I9" s="29"/>
      <c r="J9" s="28"/>
      <c r="K9" s="28"/>
      <c r="L9" s="28"/>
      <c r="M9" s="28"/>
      <c r="N9" s="28"/>
      <c r="O9" s="28"/>
    </row>
    <row r="10" spans="1:15" x14ac:dyDescent="0.25">
      <c r="A10" s="28" t="s">
        <v>16</v>
      </c>
      <c r="B10" s="31">
        <v>2000</v>
      </c>
      <c r="C10" s="28" t="s">
        <v>695</v>
      </c>
      <c r="D10" s="28"/>
      <c r="E10" s="28"/>
      <c r="F10" s="28"/>
      <c r="G10" s="28"/>
      <c r="H10" s="28"/>
      <c r="I10" s="29" t="s">
        <v>34</v>
      </c>
      <c r="J10" s="28" t="s">
        <v>34</v>
      </c>
      <c r="K10" s="28" t="s">
        <v>34</v>
      </c>
      <c r="L10" s="28" t="s">
        <v>34</v>
      </c>
      <c r="M10" s="28" t="s">
        <v>34</v>
      </c>
      <c r="N10" s="28" t="s">
        <v>34</v>
      </c>
      <c r="O10" s="28"/>
    </row>
    <row r="11" spans="1:15" x14ac:dyDescent="0.25">
      <c r="A11" s="28"/>
      <c r="B11" s="238">
        <v>200000000</v>
      </c>
      <c r="C11" s="28" t="s">
        <v>708</v>
      </c>
      <c r="D11" s="28"/>
      <c r="E11" s="28"/>
      <c r="F11" s="28"/>
      <c r="G11" s="28"/>
      <c r="H11" s="28"/>
      <c r="I11" s="29"/>
      <c r="J11" s="28"/>
      <c r="K11" s="28" t="s">
        <v>34</v>
      </c>
      <c r="L11" s="28"/>
      <c r="M11" s="28"/>
      <c r="N11" s="28"/>
      <c r="O11" s="28"/>
    </row>
    <row r="12" spans="1:15" x14ac:dyDescent="0.25">
      <c r="A12" s="28"/>
      <c r="B12" s="31">
        <v>95</v>
      </c>
      <c r="C12" s="28" t="s">
        <v>707</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37"/>
      <c r="J13" s="28"/>
      <c r="K13" s="28"/>
      <c r="L13" s="28"/>
      <c r="M13" s="28"/>
      <c r="N13" s="28"/>
      <c r="O13" s="28"/>
    </row>
    <row r="14" spans="1:15" x14ac:dyDescent="0.25">
      <c r="A14" s="28"/>
      <c r="B14" s="31">
        <v>100</v>
      </c>
      <c r="C14" s="87" t="s">
        <v>696</v>
      </c>
      <c r="D14" s="28"/>
      <c r="E14" s="28"/>
      <c r="F14" s="28"/>
      <c r="G14" s="28"/>
      <c r="H14" s="28"/>
      <c r="I14" s="237"/>
      <c r="J14" s="28"/>
      <c r="K14" s="28"/>
      <c r="L14" s="28"/>
      <c r="M14" s="28"/>
      <c r="N14" s="28"/>
      <c r="O14" s="28"/>
    </row>
    <row r="15" spans="1:15" x14ac:dyDescent="0.25">
      <c r="A15" s="28"/>
      <c r="B15" s="31">
        <v>0</v>
      </c>
      <c r="C15" s="87" t="s">
        <v>698</v>
      </c>
      <c r="D15" s="28"/>
      <c r="E15" s="28"/>
      <c r="F15" s="28"/>
      <c r="G15" s="28"/>
      <c r="H15" s="28"/>
      <c r="I15" s="237"/>
      <c r="J15" s="28"/>
      <c r="K15" s="28"/>
      <c r="L15" s="28"/>
      <c r="M15" s="28"/>
      <c r="N15" s="28"/>
      <c r="O15" s="28"/>
    </row>
    <row r="16" spans="1:15" x14ac:dyDescent="0.25">
      <c r="A16" s="28"/>
      <c r="B16" s="232">
        <f>(B12*B13/100*1000)/(B10+B12-B14+B15)*1000</f>
        <v>2857.1428571428573</v>
      </c>
      <c r="C16" s="28" t="s">
        <v>700</v>
      </c>
      <c r="D16" s="28"/>
      <c r="E16" s="28"/>
      <c r="F16" s="28"/>
      <c r="G16" s="28"/>
      <c r="H16" s="28"/>
      <c r="I16" s="237"/>
      <c r="J16" s="28"/>
      <c r="K16" s="28"/>
      <c r="L16" s="28"/>
      <c r="M16" s="28"/>
      <c r="N16" s="28"/>
      <c r="O16" s="28"/>
    </row>
    <row r="17" spans="1:19" ht="15.75" thickBot="1" x14ac:dyDescent="0.3">
      <c r="A17" s="28"/>
      <c r="B17" s="232"/>
      <c r="C17" s="28" t="s">
        <v>705</v>
      </c>
      <c r="D17" s="28"/>
      <c r="E17" s="28"/>
      <c r="F17" s="28"/>
      <c r="G17" s="28"/>
      <c r="H17" s="28"/>
      <c r="I17" s="29"/>
      <c r="J17" s="28"/>
      <c r="K17" s="28"/>
      <c r="L17" s="28"/>
      <c r="M17" s="28"/>
      <c r="N17" s="28"/>
      <c r="O17" s="28"/>
    </row>
    <row r="18" spans="1:19" ht="77.25"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2.6</v>
      </c>
      <c r="C19" s="23">
        <v>8.43</v>
      </c>
      <c r="D19" s="23">
        <v>8.74</v>
      </c>
      <c r="E19" s="23">
        <v>0</v>
      </c>
      <c r="F19" s="23">
        <v>1.79</v>
      </c>
      <c r="G19" s="23">
        <v>500</v>
      </c>
      <c r="H19" s="23">
        <v>6700</v>
      </c>
      <c r="I19" s="33">
        <v>13000000</v>
      </c>
      <c r="J19" s="50">
        <f t="shared" ref="J19:J26" si="0">LOG(I$19)-LOG(I19)</f>
        <v>0</v>
      </c>
      <c r="K19" s="33">
        <v>18000000</v>
      </c>
      <c r="L19" s="23">
        <v>0</v>
      </c>
      <c r="M19" s="34"/>
      <c r="N19" s="34"/>
      <c r="O19" s="35"/>
      <c r="P19" s="233">
        <f t="shared" ref="P19:P25" si="1">B$16*A19</f>
        <v>0</v>
      </c>
      <c r="Q19" s="233">
        <f>6/LINEST(J19:J25,P19:P25,FALSE)</f>
        <v>298735.78421278362</v>
      </c>
      <c r="R19" s="233">
        <f>Q19/3000</f>
        <v>99.578594737594543</v>
      </c>
      <c r="S19" s="233">
        <f>(J27/LINEST($J19:$J25,$P19:$P25,FALSE))/$B$16</f>
        <v>74.584367458458317</v>
      </c>
    </row>
    <row r="20" spans="1:19" ht="15.75" thickBot="1" x14ac:dyDescent="0.3">
      <c r="A20" s="32">
        <v>3</v>
      </c>
      <c r="B20" s="24">
        <v>2.8</v>
      </c>
      <c r="C20" s="24">
        <v>10.3</v>
      </c>
      <c r="D20" s="24">
        <v>9.8800000000000008</v>
      </c>
      <c r="E20" s="24">
        <v>2600</v>
      </c>
      <c r="F20" s="24">
        <v>0.71</v>
      </c>
      <c r="G20" s="24">
        <v>700</v>
      </c>
      <c r="H20" s="24">
        <v>6770</v>
      </c>
      <c r="I20" s="33">
        <v>9000000</v>
      </c>
      <c r="J20" s="50">
        <f t="shared" si="0"/>
        <v>0.15970084286751174</v>
      </c>
      <c r="K20" s="33">
        <v>12000000</v>
      </c>
      <c r="L20" s="24">
        <v>0.18</v>
      </c>
      <c r="M20" s="35"/>
      <c r="N20" s="35"/>
      <c r="O20" s="35"/>
      <c r="P20" s="233">
        <f t="shared" si="1"/>
        <v>8571.4285714285725</v>
      </c>
    </row>
    <row r="21" spans="1:19" ht="15.75" thickBot="1" x14ac:dyDescent="0.3">
      <c r="A21" s="32">
        <v>5</v>
      </c>
      <c r="B21" s="24">
        <v>2.8</v>
      </c>
      <c r="C21" s="24">
        <v>10.29</v>
      </c>
      <c r="D21" s="24">
        <v>9.9700000000000006</v>
      </c>
      <c r="E21" s="24">
        <v>2600</v>
      </c>
      <c r="F21" s="24">
        <v>0.24</v>
      </c>
      <c r="G21" s="24">
        <v>600</v>
      </c>
      <c r="H21" s="24"/>
      <c r="I21" s="33">
        <v>11000000</v>
      </c>
      <c r="J21" s="50">
        <f t="shared" si="0"/>
        <v>7.2550667148611581E-2</v>
      </c>
      <c r="K21" s="33">
        <v>11000000</v>
      </c>
      <c r="L21" s="24">
        <v>0.21</v>
      </c>
      <c r="M21" s="35"/>
      <c r="N21" s="35"/>
      <c r="O21" s="35"/>
      <c r="P21" s="233">
        <f t="shared" si="1"/>
        <v>14285.714285714286</v>
      </c>
    </row>
    <row r="22" spans="1:19" ht="15.75" thickBot="1" x14ac:dyDescent="0.3">
      <c r="A22" s="32">
        <v>10</v>
      </c>
      <c r="B22" s="24">
        <v>2.8</v>
      </c>
      <c r="C22" s="24">
        <v>10.27</v>
      </c>
      <c r="D22" s="24">
        <v>9.99</v>
      </c>
      <c r="E22" s="24">
        <v>2400</v>
      </c>
      <c r="F22" s="24">
        <v>0.49</v>
      </c>
      <c r="G22" s="24">
        <v>600</v>
      </c>
      <c r="H22" s="24"/>
      <c r="I22" s="33">
        <v>10000000</v>
      </c>
      <c r="J22" s="50">
        <f t="shared" si="0"/>
        <v>0.11394335230683694</v>
      </c>
      <c r="K22" s="33">
        <v>10000000</v>
      </c>
      <c r="L22" s="24">
        <v>0.26</v>
      </c>
      <c r="M22" s="35"/>
      <c r="N22" s="35"/>
      <c r="O22" s="35"/>
      <c r="P22" s="233">
        <f t="shared" si="1"/>
        <v>28571.428571428572</v>
      </c>
    </row>
    <row r="23" spans="1:19" ht="15.75" thickBot="1" x14ac:dyDescent="0.3">
      <c r="A23" s="32">
        <v>15</v>
      </c>
      <c r="B23" s="24">
        <v>2.8</v>
      </c>
      <c r="C23" s="24">
        <v>10.24</v>
      </c>
      <c r="D23" s="24">
        <v>9.98</v>
      </c>
      <c r="E23" s="24">
        <v>2800</v>
      </c>
      <c r="F23" s="24">
        <v>0.41</v>
      </c>
      <c r="G23" s="24">
        <v>500</v>
      </c>
      <c r="H23" s="24"/>
      <c r="I23" s="33">
        <v>6600000</v>
      </c>
      <c r="J23" s="50">
        <f t="shared" si="0"/>
        <v>0.29439941676496861</v>
      </c>
      <c r="K23" s="33">
        <v>6800000</v>
      </c>
      <c r="L23" s="24">
        <v>0.42</v>
      </c>
      <c r="M23" s="35"/>
      <c r="N23" s="35"/>
      <c r="O23" s="35"/>
      <c r="P23" s="233">
        <f t="shared" si="1"/>
        <v>42857.142857142862</v>
      </c>
    </row>
    <row r="24" spans="1:19" ht="15.75" thickBot="1" x14ac:dyDescent="0.3">
      <c r="A24" s="32">
        <v>30</v>
      </c>
      <c r="B24" s="24">
        <v>2.7</v>
      </c>
      <c r="C24" s="24">
        <v>10.199999999999999</v>
      </c>
      <c r="D24" s="24">
        <v>9.98</v>
      </c>
      <c r="E24" s="24">
        <v>2900</v>
      </c>
      <c r="F24" s="24">
        <v>0.22</v>
      </c>
      <c r="G24" s="24">
        <v>500</v>
      </c>
      <c r="H24" s="24"/>
      <c r="I24" s="33">
        <v>4000000</v>
      </c>
      <c r="J24" s="50">
        <f t="shared" si="0"/>
        <v>0.51188336097887444</v>
      </c>
      <c r="K24" s="33">
        <v>680000</v>
      </c>
      <c r="L24" s="24">
        <v>1.42</v>
      </c>
      <c r="M24" s="36"/>
      <c r="N24" s="36"/>
      <c r="O24" s="35"/>
      <c r="P24" s="233">
        <f t="shared" si="1"/>
        <v>85714.285714285725</v>
      </c>
    </row>
    <row r="25" spans="1:19" ht="15.75" thickBot="1" x14ac:dyDescent="0.3">
      <c r="A25" s="32">
        <v>60</v>
      </c>
      <c r="B25" s="24">
        <v>2.4</v>
      </c>
      <c r="C25" s="24">
        <v>10.119999999999999</v>
      </c>
      <c r="D25" s="24">
        <v>10.050000000000001</v>
      </c>
      <c r="E25" s="24">
        <v>2600</v>
      </c>
      <c r="F25" s="58">
        <v>0.18</v>
      </c>
      <c r="G25" s="24">
        <v>700</v>
      </c>
      <c r="H25" s="24">
        <v>6800</v>
      </c>
      <c r="I25" s="33">
        <v>675</v>
      </c>
      <c r="J25" s="50">
        <f t="shared" si="0"/>
        <v>4.2846395794758116</v>
      </c>
      <c r="K25" s="33">
        <v>0</v>
      </c>
      <c r="L25" s="24" t="s">
        <v>248</v>
      </c>
      <c r="M25" s="36">
        <v>365</v>
      </c>
      <c r="N25" s="36">
        <v>8685</v>
      </c>
      <c r="O25" s="27">
        <v>2230</v>
      </c>
      <c r="P25" s="233">
        <f t="shared" si="1"/>
        <v>171428.57142857145</v>
      </c>
    </row>
    <row r="26" spans="1:19" ht="15.75" thickBot="1" x14ac:dyDescent="0.3">
      <c r="A26" s="86" t="s">
        <v>242</v>
      </c>
      <c r="B26" s="36">
        <v>2.8</v>
      </c>
      <c r="C26" s="36">
        <v>10.1</v>
      </c>
      <c r="D26" s="36">
        <v>10.06</v>
      </c>
      <c r="E26" s="36">
        <v>2300</v>
      </c>
      <c r="F26" s="36">
        <v>0.46</v>
      </c>
      <c r="G26" s="36">
        <v>600</v>
      </c>
      <c r="H26" s="36">
        <v>6850</v>
      </c>
      <c r="I26" s="33">
        <v>1400</v>
      </c>
      <c r="J26" s="50">
        <f t="shared" si="0"/>
        <v>3.9678153166285988</v>
      </c>
      <c r="K26" s="33">
        <v>0</v>
      </c>
      <c r="L26" s="24" t="s">
        <v>248</v>
      </c>
      <c r="M26" s="36">
        <v>360</v>
      </c>
      <c r="N26" s="36">
        <v>8205</v>
      </c>
      <c r="O26" s="35"/>
      <c r="P26" s="233"/>
    </row>
    <row r="27" spans="1:19" ht="15.75" thickBot="1" x14ac:dyDescent="0.3">
      <c r="B27">
        <f>AVERAGE(B20:B24)</f>
        <v>2.78</v>
      </c>
      <c r="C27">
        <f>AVERAGE(C20:C24)</f>
        <v>10.26</v>
      </c>
      <c r="E27" s="155">
        <f>AVERAGE(E20:E25)</f>
        <v>2650</v>
      </c>
      <c r="F27" s="155">
        <f>_xlfn.STDEV.P(E20:E25)</f>
        <v>160.72751268321591</v>
      </c>
      <c r="J27">
        <v>4.28</v>
      </c>
      <c r="N27" s="28"/>
      <c r="O27" s="28"/>
      <c r="P27" s="220"/>
    </row>
    <row r="28" spans="1:19" x14ac:dyDescent="0.25">
      <c r="A28" s="28" t="s">
        <v>140</v>
      </c>
      <c r="B28" s="28"/>
      <c r="C28" s="28"/>
      <c r="D28" s="28"/>
      <c r="E28" s="28"/>
      <c r="F28" s="28"/>
      <c r="G28" s="28"/>
      <c r="H28" s="28"/>
      <c r="I28" s="29"/>
      <c r="J28" s="28"/>
      <c r="K28" s="28"/>
      <c r="L28" s="28"/>
      <c r="M28" s="28"/>
      <c r="N28" s="28"/>
      <c r="O28" s="28"/>
    </row>
    <row r="29" spans="1:19" x14ac:dyDescent="0.25">
      <c r="A29" s="28"/>
      <c r="B29" s="28" t="s">
        <v>141</v>
      </c>
      <c r="C29" s="28"/>
      <c r="D29" s="28"/>
      <c r="E29" s="28"/>
      <c r="F29" s="28"/>
      <c r="G29" s="28"/>
      <c r="H29" s="28"/>
      <c r="I29" s="29"/>
      <c r="J29" s="28"/>
      <c r="K29" s="28"/>
      <c r="L29" s="28"/>
      <c r="M29" s="28"/>
      <c r="N29" s="28" t="s">
        <v>34</v>
      </c>
      <c r="O29" s="28"/>
    </row>
    <row r="30" spans="1:19" x14ac:dyDescent="0.25">
      <c r="A30" s="28" t="s">
        <v>264</v>
      </c>
      <c r="B30" s="28"/>
      <c r="C30" s="28"/>
      <c r="D30" s="28"/>
      <c r="E30" s="28"/>
      <c r="F30" s="28"/>
      <c r="G30" s="28"/>
      <c r="H30" s="28"/>
      <c r="I30" s="29"/>
      <c r="J30" s="28" t="s">
        <v>34</v>
      </c>
      <c r="K30" s="28"/>
      <c r="L30" s="28" t="s">
        <v>34</v>
      </c>
      <c r="M30" s="28"/>
      <c r="N30" s="28"/>
      <c r="O30" s="28"/>
    </row>
    <row r="31" spans="1:19" x14ac:dyDescent="0.25">
      <c r="A31" s="59"/>
      <c r="F31" s="28"/>
      <c r="G31" s="28"/>
      <c r="H31" s="28"/>
      <c r="I31" s="29"/>
      <c r="J31" s="28"/>
      <c r="K31" s="28"/>
      <c r="L31" s="28" t="s">
        <v>34</v>
      </c>
      <c r="M31" s="28" t="s">
        <v>34</v>
      </c>
      <c r="N31" s="28"/>
      <c r="O31" s="28"/>
    </row>
    <row r="32" spans="1:19" x14ac:dyDescent="0.25">
      <c r="A32" s="19" t="s">
        <v>28</v>
      </c>
      <c r="B32" s="28"/>
      <c r="C32" s="28"/>
      <c r="D32" s="28"/>
      <c r="E32" s="28"/>
      <c r="F32" s="28"/>
      <c r="G32" s="28"/>
      <c r="H32" s="28"/>
      <c r="I32" s="29"/>
      <c r="J32" s="28"/>
      <c r="K32" s="28" t="s">
        <v>34</v>
      </c>
      <c r="L32" s="28"/>
      <c r="M32" s="28" t="s">
        <v>34</v>
      </c>
      <c r="N32" s="28"/>
      <c r="O32" s="28"/>
    </row>
    <row r="33" spans="1:15" x14ac:dyDescent="0.25">
      <c r="A33" s="28"/>
      <c r="B33" s="22"/>
      <c r="C33" s="28"/>
      <c r="D33" s="28"/>
      <c r="E33" s="28"/>
      <c r="F33" s="28"/>
      <c r="G33" s="28"/>
      <c r="H33" s="28"/>
      <c r="I33" s="29"/>
      <c r="J33" s="28"/>
      <c r="K33" s="28"/>
      <c r="L33" s="28" t="s">
        <v>34</v>
      </c>
      <c r="M33" s="28" t="s">
        <v>34</v>
      </c>
      <c r="N33" s="28"/>
      <c r="O33" s="28"/>
    </row>
    <row r="34" spans="1:15" x14ac:dyDescent="0.25">
      <c r="A34" s="28"/>
      <c r="B34" s="41" t="s">
        <v>267</v>
      </c>
      <c r="C34" s="41"/>
      <c r="D34" s="41"/>
      <c r="E34" s="41"/>
      <c r="F34" s="41"/>
      <c r="G34" s="41"/>
      <c r="H34" s="41"/>
      <c r="I34" s="41"/>
      <c r="J34" s="41"/>
      <c r="K34" s="41"/>
      <c r="L34" s="41" t="s">
        <v>34</v>
      </c>
      <c r="M34" s="28"/>
      <c r="N34" s="28"/>
      <c r="O34" s="28"/>
    </row>
    <row r="35" spans="1:15" x14ac:dyDescent="0.25">
      <c r="A35" s="28"/>
      <c r="B35" s="41"/>
      <c r="C35" s="41"/>
      <c r="D35" s="41"/>
      <c r="E35" s="41"/>
      <c r="F35" s="41"/>
      <c r="G35" s="41"/>
      <c r="H35" s="41"/>
      <c r="I35" s="41"/>
      <c r="J35" s="41"/>
      <c r="K35" s="41"/>
      <c r="L35" s="41"/>
      <c r="M35" s="28"/>
      <c r="N35" s="28"/>
      <c r="O35" s="28"/>
    </row>
    <row r="36" spans="1:15" x14ac:dyDescent="0.25">
      <c r="A36" s="28"/>
      <c r="B36" s="22" t="s">
        <v>146</v>
      </c>
      <c r="C36" s="28"/>
      <c r="D36" s="28"/>
      <c r="E36" s="28"/>
      <c r="F36" s="28"/>
      <c r="G36" s="28"/>
      <c r="H36" s="28"/>
      <c r="I36" s="29"/>
      <c r="J36" s="28"/>
      <c r="K36" s="28"/>
      <c r="L36" s="28"/>
      <c r="M36" s="28" t="s">
        <v>34</v>
      </c>
      <c r="N36" s="28"/>
      <c r="O36" s="28"/>
    </row>
    <row r="37" spans="1:15" x14ac:dyDescent="0.25">
      <c r="A37" s="28"/>
      <c r="B37" s="41" t="s">
        <v>268</v>
      </c>
      <c r="C37" s="41"/>
      <c r="D37" s="41"/>
      <c r="E37" s="41"/>
      <c r="F37" s="41"/>
      <c r="G37" s="41"/>
      <c r="H37" s="41"/>
      <c r="I37" s="41"/>
      <c r="J37" s="41"/>
      <c r="K37" s="41"/>
      <c r="M37" s="28"/>
      <c r="N37" s="28"/>
      <c r="O37" s="28"/>
    </row>
    <row r="38" spans="1:15" x14ac:dyDescent="0.25">
      <c r="A38" s="28"/>
      <c r="B38" s="41" t="s">
        <v>269</v>
      </c>
      <c r="C38" s="41"/>
      <c r="D38" s="41"/>
      <c r="E38" s="41"/>
      <c r="F38" s="41"/>
      <c r="G38" s="41"/>
      <c r="H38" s="41"/>
      <c r="I38" s="41"/>
      <c r="J38" s="41"/>
      <c r="K38" s="41"/>
      <c r="M38" s="28"/>
      <c r="N38" s="28"/>
      <c r="O38" s="28"/>
    </row>
    <row r="39" spans="1:15" x14ac:dyDescent="0.25">
      <c r="A39" s="28"/>
      <c r="B39" s="69" t="s">
        <v>156</v>
      </c>
      <c r="C39" s="87"/>
      <c r="D39" s="87"/>
      <c r="E39" s="87"/>
      <c r="F39" s="87"/>
      <c r="G39" s="87"/>
      <c r="H39" s="87"/>
      <c r="I39" s="88"/>
      <c r="J39" s="87"/>
      <c r="K39" s="87"/>
      <c r="L39" s="28"/>
      <c r="M39" s="28"/>
      <c r="N39" s="28"/>
      <c r="O39" s="28"/>
    </row>
    <row r="40" spans="1:15" x14ac:dyDescent="0.25">
      <c r="A40" s="28"/>
      <c r="B40" s="75" t="s">
        <v>36</v>
      </c>
      <c r="C40" s="28"/>
      <c r="D40" s="28"/>
      <c r="E40" s="28"/>
      <c r="F40" s="28"/>
      <c r="G40" s="28"/>
      <c r="H40" s="28"/>
      <c r="I40" s="29"/>
      <c r="J40" s="28"/>
      <c r="K40" s="28"/>
      <c r="N40" s="28"/>
      <c r="O40" s="28"/>
    </row>
    <row r="41" spans="1:15" x14ac:dyDescent="0.25">
      <c r="A41" s="28"/>
      <c r="B41" s="22" t="s">
        <v>133</v>
      </c>
      <c r="L41" s="28"/>
      <c r="N41" s="28"/>
      <c r="O41" s="28"/>
    </row>
    <row r="42" spans="1:15" x14ac:dyDescent="0.25">
      <c r="A42" s="28"/>
      <c r="B42" s="22" t="s">
        <v>270</v>
      </c>
      <c r="L42" s="28"/>
      <c r="N42" s="28"/>
      <c r="O42" s="28" t="s">
        <v>34</v>
      </c>
    </row>
    <row r="43" spans="1:15" x14ac:dyDescent="0.25">
      <c r="A43" s="28"/>
      <c r="B43" s="22" t="s">
        <v>271</v>
      </c>
      <c r="L43" s="28"/>
      <c r="M43" s="28"/>
      <c r="N43" s="28"/>
      <c r="O43" s="28"/>
    </row>
    <row r="44" spans="1:15" x14ac:dyDescent="0.25">
      <c r="B44" s="41" t="s">
        <v>247</v>
      </c>
      <c r="C44" s="64"/>
      <c r="D44" s="64"/>
      <c r="E44" s="64"/>
      <c r="F44" s="64"/>
      <c r="G44" s="64"/>
      <c r="H44" s="64"/>
      <c r="I44" s="64"/>
      <c r="J44" s="64"/>
      <c r="K44" s="64"/>
      <c r="L44" s="65"/>
      <c r="M44" s="28"/>
      <c r="N44" s="28"/>
      <c r="O44" s="28"/>
    </row>
    <row r="45" spans="1:15" x14ac:dyDescent="0.25">
      <c r="B45" s="41" t="s">
        <v>244</v>
      </c>
    </row>
    <row r="46" spans="1:15" x14ac:dyDescent="0.25">
      <c r="B46" s="22" t="s">
        <v>245</v>
      </c>
      <c r="C46" s="28"/>
      <c r="D46" s="28"/>
      <c r="E46" s="28"/>
      <c r="F46" s="28"/>
      <c r="G46" s="28"/>
      <c r="H46" s="28"/>
      <c r="I46" s="29"/>
      <c r="J46" s="28"/>
    </row>
    <row r="47" spans="1:15" x14ac:dyDescent="0.25">
      <c r="B47" s="41"/>
      <c r="C47" s="64"/>
      <c r="D47" s="64"/>
      <c r="E47" s="64"/>
      <c r="F47" s="64"/>
      <c r="G47" s="64"/>
      <c r="H47" s="64"/>
      <c r="I47" s="64"/>
      <c r="J47" s="64"/>
      <c r="K47" s="64"/>
      <c r="L47" s="65"/>
      <c r="O47" t="s">
        <v>34</v>
      </c>
    </row>
    <row r="48" spans="1:15" x14ac:dyDescent="0.25">
      <c r="B48" s="41" t="s">
        <v>154</v>
      </c>
      <c r="C48" s="41"/>
      <c r="D48" s="41"/>
      <c r="E48" s="41"/>
      <c r="F48" s="41"/>
      <c r="G48" s="41"/>
      <c r="H48" s="41"/>
      <c r="I48" s="41"/>
      <c r="J48" s="41"/>
      <c r="K48" s="41"/>
      <c r="N48" t="s">
        <v>34</v>
      </c>
    </row>
    <row r="49" spans="2:14" x14ac:dyDescent="0.25">
      <c r="B49" s="41" t="s">
        <v>155</v>
      </c>
      <c r="C49" s="41"/>
      <c r="D49" s="41"/>
      <c r="E49" s="41"/>
      <c r="F49" s="41"/>
      <c r="G49" s="41"/>
      <c r="H49" s="41"/>
      <c r="I49" s="41"/>
      <c r="J49" s="41"/>
      <c r="K49" s="41"/>
    </row>
    <row r="50" spans="2:14" x14ac:dyDescent="0.25">
      <c r="B50" s="22" t="s">
        <v>157</v>
      </c>
      <c r="C50" s="28"/>
      <c r="D50" s="28"/>
      <c r="E50" s="28"/>
      <c r="F50" s="28"/>
      <c r="G50" s="28"/>
      <c r="H50" s="29"/>
      <c r="I50" s="28"/>
      <c r="J50" s="41"/>
      <c r="K50" s="28"/>
    </row>
    <row r="51" spans="2:14" x14ac:dyDescent="0.25">
      <c r="N51" t="s">
        <v>34</v>
      </c>
    </row>
  </sheetData>
  <pageMargins left="0.7" right="0.7" top="0.75" bottom="0.75" header="0.3" footer="0.3"/>
  <pageSetup scale="62" orientation="landscape" verticalDpi="597"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rgb="FFFF0000"/>
    <pageSetUpPr fitToPage="1"/>
  </sheetPr>
  <dimension ref="A6:AB55"/>
  <sheetViews>
    <sheetView zoomScale="90" zoomScaleNormal="90" workbookViewId="0"/>
  </sheetViews>
  <sheetFormatPr defaultRowHeight="15" x14ac:dyDescent="0.25"/>
  <cols>
    <col min="2" max="2" width="11.5703125" customWidth="1"/>
    <col min="9" max="9" width="10.28515625" bestFit="1" customWidth="1"/>
    <col min="11" max="11" width="8.42578125" bestFit="1" customWidth="1"/>
  </cols>
  <sheetData>
    <row r="6" spans="1:15" x14ac:dyDescent="0.25">
      <c r="A6" s="7" t="s">
        <v>12</v>
      </c>
      <c r="B6" s="28"/>
      <c r="C6" s="28"/>
      <c r="D6" s="28"/>
      <c r="E6" s="28"/>
      <c r="F6" s="28"/>
      <c r="G6" s="28"/>
      <c r="H6" s="28"/>
      <c r="I6" s="31"/>
      <c r="J6" s="28"/>
      <c r="K6" s="28"/>
      <c r="L6" s="28"/>
      <c r="M6" s="28"/>
      <c r="N6" s="28"/>
      <c r="O6" s="28"/>
    </row>
    <row r="7" spans="1:15" x14ac:dyDescent="0.25">
      <c r="A7" s="30" t="s">
        <v>13</v>
      </c>
      <c r="B7" s="30">
        <v>41603</v>
      </c>
      <c r="I7" s="31"/>
      <c r="J7" s="28"/>
      <c r="K7" s="28"/>
    </row>
    <row r="8" spans="1:15" x14ac:dyDescent="0.25">
      <c r="A8" s="28" t="s">
        <v>14</v>
      </c>
      <c r="B8" s="28">
        <v>21</v>
      </c>
      <c r="C8" s="28" t="s">
        <v>608</v>
      </c>
      <c r="D8" s="28"/>
      <c r="E8" s="28"/>
      <c r="F8" s="28"/>
      <c r="G8" s="28"/>
      <c r="H8" s="28"/>
      <c r="I8" s="31"/>
      <c r="J8" s="87"/>
      <c r="K8" s="28"/>
      <c r="M8" s="28"/>
      <c r="N8" s="28"/>
      <c r="O8" s="28"/>
    </row>
    <row r="9" spans="1:15" x14ac:dyDescent="0.25">
      <c r="A9" s="28" t="s">
        <v>15</v>
      </c>
      <c r="B9" s="28">
        <v>10</v>
      </c>
      <c r="C9" s="28" t="s">
        <v>240</v>
      </c>
      <c r="D9" s="28"/>
      <c r="E9" s="28"/>
      <c r="F9" s="28"/>
      <c r="G9" s="28"/>
      <c r="H9" s="28"/>
      <c r="I9" s="31"/>
      <c r="J9" s="87"/>
      <c r="K9" s="28"/>
      <c r="M9" s="28"/>
      <c r="N9" s="28"/>
      <c r="O9" s="28"/>
    </row>
    <row r="10" spans="1:15" x14ac:dyDescent="0.25">
      <c r="A10" s="28" t="s">
        <v>16</v>
      </c>
      <c r="B10" s="31">
        <v>2500</v>
      </c>
      <c r="C10" s="28" t="s">
        <v>695</v>
      </c>
      <c r="D10" s="28"/>
      <c r="E10" s="28"/>
      <c r="F10" s="28"/>
      <c r="G10" s="28"/>
      <c r="H10" s="28"/>
      <c r="I10" s="232"/>
      <c r="J10" s="28"/>
      <c r="K10" s="28"/>
      <c r="M10" s="28" t="s">
        <v>34</v>
      </c>
      <c r="N10" s="28" t="s">
        <v>34</v>
      </c>
      <c r="O10" s="28"/>
    </row>
    <row r="11" spans="1:15" x14ac:dyDescent="0.25">
      <c r="A11" s="28"/>
      <c r="B11" s="31" t="s">
        <v>58</v>
      </c>
      <c r="C11" s="28"/>
      <c r="D11" s="28"/>
      <c r="E11" s="28"/>
      <c r="F11" s="28"/>
      <c r="G11" s="28"/>
      <c r="H11" s="28"/>
      <c r="I11" s="215"/>
      <c r="M11" s="28"/>
      <c r="N11" s="28"/>
      <c r="O11" s="28"/>
    </row>
    <row r="12" spans="1:15" x14ac:dyDescent="0.25">
      <c r="A12" s="28"/>
      <c r="B12" s="31">
        <v>112</v>
      </c>
      <c r="C12" s="31" t="s">
        <v>701</v>
      </c>
      <c r="D12" s="28"/>
      <c r="E12" s="28"/>
      <c r="F12" s="28"/>
      <c r="G12" s="28"/>
      <c r="H12" s="28"/>
      <c r="I12" s="215"/>
      <c r="M12" s="28"/>
      <c r="N12" s="28"/>
      <c r="O12" s="28"/>
    </row>
    <row r="13" spans="1:15" x14ac:dyDescent="0.25">
      <c r="A13" s="28"/>
      <c r="B13" s="31">
        <v>6</v>
      </c>
      <c r="C13" s="28" t="s">
        <v>697</v>
      </c>
      <c r="D13" s="28"/>
      <c r="E13" s="28"/>
      <c r="F13" s="28"/>
      <c r="G13" s="28"/>
      <c r="H13" s="28"/>
      <c r="I13" s="234"/>
      <c r="J13" s="28"/>
      <c r="K13" s="28"/>
      <c r="L13" s="28"/>
      <c r="M13" s="28"/>
      <c r="N13" s="28"/>
      <c r="O13" s="28"/>
    </row>
    <row r="14" spans="1:15" x14ac:dyDescent="0.25">
      <c r="A14" s="28"/>
      <c r="B14" s="31">
        <v>100</v>
      </c>
      <c r="C14" s="87" t="s">
        <v>696</v>
      </c>
      <c r="D14" s="28"/>
      <c r="E14" s="28"/>
      <c r="F14" s="28"/>
      <c r="G14" s="28"/>
      <c r="H14" s="28"/>
      <c r="I14" s="234"/>
      <c r="J14" s="28"/>
      <c r="K14" s="28"/>
      <c r="L14" s="28"/>
      <c r="M14" s="28"/>
      <c r="N14" s="28"/>
      <c r="O14" s="28"/>
    </row>
    <row r="15" spans="1:15" x14ac:dyDescent="0.25">
      <c r="A15" s="28"/>
      <c r="B15" s="31">
        <v>0</v>
      </c>
      <c r="C15" s="87" t="s">
        <v>698</v>
      </c>
      <c r="D15" s="28"/>
      <c r="E15" s="28"/>
      <c r="F15" s="28"/>
      <c r="G15" s="28"/>
      <c r="H15" s="28"/>
      <c r="I15" s="234"/>
      <c r="K15" s="28"/>
      <c r="L15" s="28"/>
      <c r="M15" s="28"/>
      <c r="N15" s="28"/>
      <c r="O15" s="28"/>
    </row>
    <row r="16" spans="1:15" x14ac:dyDescent="0.25">
      <c r="A16" s="28"/>
      <c r="B16" s="232">
        <f>(B12*B13/100*1000)/(B10+B12-B14+B15)*1000</f>
        <v>2675.1592356687897</v>
      </c>
      <c r="C16" s="28" t="s">
        <v>700</v>
      </c>
      <c r="D16" s="28"/>
      <c r="E16" s="28"/>
      <c r="F16" s="28"/>
      <c r="G16" s="28"/>
      <c r="H16" s="28"/>
      <c r="I16" s="234"/>
      <c r="J16" s="28"/>
      <c r="K16" s="28"/>
      <c r="L16" s="28"/>
      <c r="M16" s="28"/>
      <c r="N16" s="28"/>
      <c r="O16" s="28"/>
    </row>
    <row r="17" spans="1:19" ht="15.75" thickBot="1" x14ac:dyDescent="0.3">
      <c r="A17" s="28"/>
      <c r="B17" s="232"/>
      <c r="C17" s="28" t="s">
        <v>705</v>
      </c>
      <c r="D17" s="28"/>
      <c r="E17" s="28"/>
      <c r="F17" s="28"/>
      <c r="G17" s="28"/>
      <c r="H17" s="28"/>
      <c r="I17" s="234"/>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19" ht="15.75" thickBot="1" x14ac:dyDescent="0.3">
      <c r="A19" s="32">
        <v>0</v>
      </c>
      <c r="B19" s="23">
        <v>4.5999999999999996</v>
      </c>
      <c r="C19" s="23">
        <v>8.33</v>
      </c>
      <c r="D19" s="23">
        <v>7.95</v>
      </c>
      <c r="E19" s="23">
        <v>0.18</v>
      </c>
      <c r="F19" s="23">
        <v>0.2</v>
      </c>
      <c r="G19" s="23">
        <v>148</v>
      </c>
      <c r="H19" s="23">
        <v>689</v>
      </c>
      <c r="I19" s="33">
        <v>19000000</v>
      </c>
      <c r="J19" s="50">
        <f t="shared" ref="J19:J24" si="0">LOG(I$19)-LOG(I19)</f>
        <v>0</v>
      </c>
      <c r="K19" s="33">
        <v>110000000</v>
      </c>
      <c r="L19" s="23" t="s">
        <v>26</v>
      </c>
      <c r="M19" s="34"/>
      <c r="N19" s="34"/>
      <c r="O19" s="35"/>
      <c r="P19" s="233">
        <f t="shared" ref="P19:P24" si="1">B$16*A19</f>
        <v>0</v>
      </c>
      <c r="Q19" s="233">
        <f>6/LINEST(J19:J24,P19:P24,FALSE)</f>
        <v>255314.64144983428</v>
      </c>
      <c r="R19" s="233">
        <f>Q19/3000</f>
        <v>85.104880483278095</v>
      </c>
      <c r="S19" s="233">
        <f>(J29/LINEST($J19:$J24,$P19:$P24,FALSE))/$B$16</f>
        <v>116.11750419272026</v>
      </c>
    </row>
    <row r="20" spans="1:19" ht="15.75" thickBot="1" x14ac:dyDescent="0.3">
      <c r="A20" s="32">
        <v>5</v>
      </c>
      <c r="B20" s="24">
        <v>4.7</v>
      </c>
      <c r="C20" s="24">
        <v>10.01</v>
      </c>
      <c r="D20" s="24">
        <v>7.8</v>
      </c>
      <c r="E20" s="24">
        <v>1960</v>
      </c>
      <c r="F20" s="24">
        <v>0</v>
      </c>
      <c r="G20" s="24">
        <v>94.6</v>
      </c>
      <c r="H20" s="24">
        <v>625</v>
      </c>
      <c r="I20" s="33">
        <v>34000000</v>
      </c>
      <c r="J20" s="50">
        <f t="shared" si="0"/>
        <v>-0.2527253160894265</v>
      </c>
      <c r="K20" s="33">
        <v>82000000</v>
      </c>
      <c r="L20" s="24">
        <v>0.13</v>
      </c>
      <c r="M20" s="35"/>
      <c r="N20" s="35"/>
      <c r="O20" s="35"/>
      <c r="P20" s="233">
        <f t="shared" si="1"/>
        <v>13375.79617834395</v>
      </c>
    </row>
    <row r="21" spans="1:19" ht="15.75" thickBot="1" x14ac:dyDescent="0.3">
      <c r="A21" s="32">
        <v>10</v>
      </c>
      <c r="B21" s="24">
        <v>4.5</v>
      </c>
      <c r="C21" s="24">
        <v>10.01</v>
      </c>
      <c r="D21" s="24">
        <v>6.92</v>
      </c>
      <c r="E21" s="24">
        <v>2070</v>
      </c>
      <c r="F21" s="24">
        <v>0</v>
      </c>
      <c r="G21" s="24">
        <v>87.7</v>
      </c>
      <c r="H21" s="24"/>
      <c r="I21" s="33">
        <v>40000000</v>
      </c>
      <c r="J21" s="50">
        <f t="shared" si="0"/>
        <v>-0.32330639037513365</v>
      </c>
      <c r="K21" s="33">
        <v>65000000</v>
      </c>
      <c r="L21" s="24">
        <v>0.23</v>
      </c>
      <c r="M21" s="35"/>
      <c r="N21" s="35"/>
      <c r="O21" s="35"/>
      <c r="P21" s="233">
        <f t="shared" si="1"/>
        <v>26751.592356687899</v>
      </c>
    </row>
    <row r="22" spans="1:19" ht="15.75" thickBot="1" x14ac:dyDescent="0.3">
      <c r="A22" s="32">
        <v>15</v>
      </c>
      <c r="B22" s="24">
        <v>4.5</v>
      </c>
      <c r="C22" s="24">
        <v>9.99</v>
      </c>
      <c r="D22" s="24">
        <v>9.6199999999999992</v>
      </c>
      <c r="E22" s="24">
        <v>2180</v>
      </c>
      <c r="F22" s="24">
        <v>0.12</v>
      </c>
      <c r="G22" s="24">
        <v>128</v>
      </c>
      <c r="H22" s="24"/>
      <c r="I22" s="33">
        <v>15000000</v>
      </c>
      <c r="J22" s="50">
        <f t="shared" si="0"/>
        <v>0.10266234189714751</v>
      </c>
      <c r="K22" s="33">
        <v>23000000</v>
      </c>
      <c r="L22" s="24">
        <v>0.68</v>
      </c>
      <c r="M22" s="35"/>
      <c r="N22" s="35"/>
      <c r="O22" s="35"/>
      <c r="P22" s="233">
        <f t="shared" si="1"/>
        <v>40127.388535031845</v>
      </c>
    </row>
    <row r="23" spans="1:19" ht="15.75" thickBot="1" x14ac:dyDescent="0.3">
      <c r="A23" s="32">
        <v>30</v>
      </c>
      <c r="B23" s="24">
        <v>4.5</v>
      </c>
      <c r="C23" s="24">
        <v>9.9600000000000009</v>
      </c>
      <c r="D23" s="24">
        <v>10.199999999999999</v>
      </c>
      <c r="E23" s="24">
        <v>1990</v>
      </c>
      <c r="F23" s="24">
        <v>0.01</v>
      </c>
      <c r="G23" s="24">
        <v>153</v>
      </c>
      <c r="H23" s="24"/>
      <c r="I23" s="33">
        <v>310000</v>
      </c>
      <c r="J23" s="50">
        <f t="shared" si="0"/>
        <v>1.7873919071185558</v>
      </c>
      <c r="K23" s="33">
        <v>110000</v>
      </c>
      <c r="L23" s="125">
        <v>3</v>
      </c>
      <c r="M23" s="36"/>
      <c r="N23" s="36"/>
      <c r="O23" s="35"/>
      <c r="P23" s="233">
        <f t="shared" si="1"/>
        <v>80254.77707006369</v>
      </c>
    </row>
    <row r="24" spans="1:19" ht="15.75" thickBot="1" x14ac:dyDescent="0.3">
      <c r="A24" s="32">
        <v>60</v>
      </c>
      <c r="B24" s="24">
        <v>4.2</v>
      </c>
      <c r="C24" s="24">
        <v>9.89</v>
      </c>
      <c r="D24" s="24">
        <v>10.51</v>
      </c>
      <c r="E24" s="24">
        <v>1750</v>
      </c>
      <c r="F24" s="24">
        <v>0.09</v>
      </c>
      <c r="G24" s="24">
        <v>131</v>
      </c>
      <c r="H24" s="24"/>
      <c r="I24" s="33">
        <v>1100</v>
      </c>
      <c r="J24" s="50">
        <f t="shared" si="0"/>
        <v>4.2373609157946035</v>
      </c>
      <c r="K24" s="33">
        <v>0</v>
      </c>
      <c r="L24" s="24" t="s">
        <v>612</v>
      </c>
      <c r="M24" s="36"/>
      <c r="N24" s="36"/>
      <c r="O24" s="35"/>
      <c r="P24" s="233">
        <f t="shared" si="1"/>
        <v>160509.55414012738</v>
      </c>
    </row>
    <row r="25" spans="1:19" ht="15.75" thickBot="1" x14ac:dyDescent="0.3">
      <c r="A25" s="32">
        <v>120</v>
      </c>
      <c r="B25" s="24">
        <v>3.8</v>
      </c>
      <c r="C25" s="24">
        <v>9.8000000000000007</v>
      </c>
      <c r="D25" s="24">
        <v>10.61</v>
      </c>
      <c r="E25" s="24">
        <v>1800</v>
      </c>
      <c r="F25" s="24">
        <v>0.01</v>
      </c>
      <c r="G25" s="24">
        <v>128</v>
      </c>
      <c r="H25" s="24"/>
      <c r="I25" s="33">
        <v>0</v>
      </c>
      <c r="J25" s="24" t="s">
        <v>613</v>
      </c>
      <c r="K25" s="33">
        <v>2500</v>
      </c>
      <c r="L25" s="24">
        <v>3.6</v>
      </c>
      <c r="M25" s="36"/>
      <c r="N25" s="36"/>
      <c r="O25" s="35"/>
      <c r="P25" s="233"/>
    </row>
    <row r="26" spans="1:19" ht="15.75" thickBot="1" x14ac:dyDescent="0.3">
      <c r="A26" s="32">
        <v>180</v>
      </c>
      <c r="B26" s="24">
        <v>3.7</v>
      </c>
      <c r="C26" s="24">
        <v>9.75</v>
      </c>
      <c r="D26" s="24">
        <v>7.46</v>
      </c>
      <c r="E26" s="24">
        <v>1850</v>
      </c>
      <c r="F26" s="24">
        <v>1850</v>
      </c>
      <c r="G26" s="24">
        <v>130</v>
      </c>
      <c r="H26" s="24"/>
      <c r="I26" s="33" t="s">
        <v>26</v>
      </c>
      <c r="J26" s="24" t="s">
        <v>26</v>
      </c>
      <c r="K26" s="33" t="s">
        <v>26</v>
      </c>
      <c r="L26" s="24" t="s">
        <v>26</v>
      </c>
      <c r="M26" s="36"/>
      <c r="N26" s="36"/>
      <c r="O26" s="35"/>
      <c r="P26" s="233"/>
    </row>
    <row r="27" spans="1:19" ht="15.75" thickBot="1" x14ac:dyDescent="0.3">
      <c r="A27" s="32">
        <v>240</v>
      </c>
      <c r="B27" s="24">
        <v>3.2</v>
      </c>
      <c r="C27" s="24">
        <v>9.69</v>
      </c>
      <c r="D27" s="24">
        <v>11.77</v>
      </c>
      <c r="E27" s="24">
        <v>2070</v>
      </c>
      <c r="F27" s="58">
        <v>0</v>
      </c>
      <c r="G27" s="24">
        <v>410</v>
      </c>
      <c r="H27" s="24">
        <v>601</v>
      </c>
      <c r="I27" s="33">
        <v>27.5</v>
      </c>
      <c r="J27" s="24">
        <v>5.8</v>
      </c>
      <c r="K27" s="33">
        <v>100</v>
      </c>
      <c r="L27" s="125">
        <v>6</v>
      </c>
      <c r="M27" s="36">
        <v>35</v>
      </c>
      <c r="N27" s="36">
        <v>5190</v>
      </c>
      <c r="O27" s="27">
        <v>833</v>
      </c>
      <c r="P27" s="220"/>
    </row>
    <row r="28" spans="1:19" ht="15.75" thickBot="1" x14ac:dyDescent="0.3">
      <c r="A28" s="86" t="s">
        <v>614</v>
      </c>
      <c r="B28" s="36">
        <v>3.2</v>
      </c>
      <c r="C28" s="36">
        <v>9.67</v>
      </c>
      <c r="D28" s="36">
        <v>11.67</v>
      </c>
      <c r="E28" s="36">
        <v>1770</v>
      </c>
      <c r="F28" s="36">
        <v>0.04</v>
      </c>
      <c r="G28" s="36">
        <v>438</v>
      </c>
      <c r="H28" s="36">
        <v>635</v>
      </c>
      <c r="I28" s="33">
        <v>25</v>
      </c>
      <c r="J28" s="36">
        <v>5.9</v>
      </c>
      <c r="K28" s="33">
        <v>1200</v>
      </c>
      <c r="L28" s="125">
        <v>5</v>
      </c>
      <c r="M28" s="36">
        <v>90</v>
      </c>
      <c r="N28" s="36">
        <v>5590</v>
      </c>
      <c r="O28" s="35"/>
    </row>
    <row r="29" spans="1:19" x14ac:dyDescent="0.25">
      <c r="B29">
        <f>AVERAGE(B20:B24)</f>
        <v>4.4799999999999995</v>
      </c>
      <c r="C29">
        <f>AVERAGE(C20:C24)</f>
        <v>9.9719999999999995</v>
      </c>
      <c r="E29" s="155">
        <f>AVERAGE(E20:E27)</f>
        <v>1958.75</v>
      </c>
      <c r="F29" s="155">
        <f>_xlfn.STDEV.P(E20:E27)</f>
        <v>139.32314057614406</v>
      </c>
      <c r="J29">
        <v>7.3</v>
      </c>
      <c r="N29" s="28"/>
      <c r="O29" s="28"/>
    </row>
    <row r="30" spans="1:19" x14ac:dyDescent="0.25">
      <c r="A30" s="28" t="s">
        <v>140</v>
      </c>
      <c r="B30" s="28"/>
      <c r="C30" s="28"/>
      <c r="D30" s="28"/>
      <c r="E30" s="28"/>
      <c r="F30" s="28"/>
      <c r="G30" s="28"/>
      <c r="H30" s="28"/>
      <c r="I30" s="215"/>
      <c r="J30" s="28"/>
      <c r="K30" s="28"/>
      <c r="L30" s="28"/>
      <c r="M30" s="28"/>
      <c r="N30" s="28"/>
      <c r="O30" s="28"/>
    </row>
    <row r="31" spans="1:19" x14ac:dyDescent="0.25">
      <c r="A31" s="28"/>
      <c r="B31" s="28" t="s">
        <v>141</v>
      </c>
      <c r="C31" s="28"/>
      <c r="D31" s="28"/>
      <c r="E31" s="28"/>
      <c r="F31" s="28"/>
      <c r="G31" s="28"/>
      <c r="H31" s="28"/>
      <c r="I31" s="215"/>
      <c r="J31" s="28"/>
      <c r="K31" s="28"/>
      <c r="L31" s="28"/>
      <c r="M31" s="28"/>
      <c r="N31" s="28" t="s">
        <v>34</v>
      </c>
      <c r="O31" s="28"/>
    </row>
    <row r="32" spans="1:19" x14ac:dyDescent="0.25">
      <c r="A32" s="28" t="s">
        <v>264</v>
      </c>
      <c r="B32" s="28"/>
      <c r="C32" s="28"/>
      <c r="D32" s="28"/>
      <c r="E32" s="28"/>
      <c r="F32" s="28"/>
      <c r="G32" s="28"/>
      <c r="H32" s="28"/>
      <c r="I32" s="215"/>
      <c r="J32" s="28" t="s">
        <v>34</v>
      </c>
      <c r="K32" s="28"/>
      <c r="L32" s="28" t="s">
        <v>34</v>
      </c>
      <c r="M32" s="28"/>
      <c r="N32" s="28"/>
      <c r="O32" s="28"/>
    </row>
    <row r="33" spans="1:15" x14ac:dyDescent="0.25">
      <c r="A33" s="59"/>
      <c r="F33" s="28"/>
      <c r="G33" s="28"/>
      <c r="H33" s="28"/>
      <c r="I33" s="215"/>
      <c r="J33" s="28"/>
      <c r="K33" s="28"/>
      <c r="L33" s="28" t="s">
        <v>34</v>
      </c>
      <c r="M33" s="28" t="s">
        <v>34</v>
      </c>
      <c r="N33" s="28"/>
      <c r="O33" s="28"/>
    </row>
    <row r="34" spans="1:15" x14ac:dyDescent="0.25">
      <c r="A34" s="19" t="s">
        <v>28</v>
      </c>
      <c r="B34" s="28"/>
      <c r="C34" s="28"/>
      <c r="D34" s="28"/>
      <c r="E34" s="28"/>
      <c r="F34" s="28"/>
      <c r="G34" s="28"/>
      <c r="H34" s="28"/>
      <c r="I34" s="215"/>
      <c r="J34" s="28"/>
      <c r="K34" s="28" t="s">
        <v>34</v>
      </c>
      <c r="L34" s="28"/>
      <c r="M34" s="28" t="s">
        <v>34</v>
      </c>
      <c r="N34" s="28"/>
      <c r="O34" s="28"/>
    </row>
    <row r="35" spans="1:15" x14ac:dyDescent="0.25">
      <c r="A35" s="28"/>
      <c r="B35" s="22"/>
      <c r="C35" s="28"/>
      <c r="D35" s="28"/>
      <c r="E35" s="28"/>
      <c r="F35" s="28"/>
      <c r="G35" s="28"/>
      <c r="H35" s="28"/>
      <c r="I35" s="215"/>
      <c r="J35" s="28"/>
      <c r="K35" s="28"/>
      <c r="L35" s="28" t="s">
        <v>34</v>
      </c>
      <c r="M35" s="28" t="s">
        <v>34</v>
      </c>
      <c r="N35" s="28"/>
      <c r="O35" s="28"/>
    </row>
    <row r="36" spans="1:15" x14ac:dyDescent="0.25">
      <c r="A36" s="28"/>
      <c r="B36" s="189" t="s">
        <v>622</v>
      </c>
      <c r="C36" s="189"/>
      <c r="D36" s="189"/>
      <c r="E36" s="189"/>
      <c r="F36" s="189"/>
      <c r="G36" s="189"/>
      <c r="H36" s="189"/>
      <c r="I36" s="189"/>
      <c r="J36" s="189"/>
      <c r="K36" s="189"/>
      <c r="L36" s="189" t="s">
        <v>34</v>
      </c>
      <c r="M36" s="28"/>
      <c r="N36" s="28"/>
      <c r="O36" s="28"/>
    </row>
    <row r="37" spans="1:15" x14ac:dyDescent="0.25">
      <c r="A37" s="28"/>
      <c r="B37" s="189"/>
      <c r="C37" s="189"/>
      <c r="D37" s="189"/>
      <c r="E37" s="189"/>
      <c r="F37" s="189"/>
      <c r="G37" s="189"/>
      <c r="H37" s="189"/>
      <c r="I37" s="189"/>
      <c r="J37" s="189"/>
      <c r="K37" s="189"/>
      <c r="L37" s="189"/>
      <c r="M37" s="28"/>
      <c r="N37" s="28"/>
      <c r="O37" s="28"/>
    </row>
    <row r="38" spans="1:15" x14ac:dyDescent="0.25">
      <c r="A38" s="28"/>
      <c r="B38" s="22" t="s">
        <v>633</v>
      </c>
      <c r="C38" s="28"/>
      <c r="D38" s="28"/>
      <c r="E38" s="28"/>
      <c r="F38" s="28"/>
      <c r="G38" s="28"/>
      <c r="H38" s="28"/>
      <c r="I38" s="215"/>
      <c r="J38" s="28"/>
      <c r="K38" s="28"/>
      <c r="L38" s="28"/>
      <c r="M38" s="28" t="s">
        <v>34</v>
      </c>
      <c r="N38" s="28"/>
      <c r="O38" s="28"/>
    </row>
    <row r="39" spans="1:15" x14ac:dyDescent="0.25">
      <c r="A39" s="28"/>
      <c r="B39" s="189" t="s">
        <v>623</v>
      </c>
      <c r="C39" s="189"/>
      <c r="D39" s="189"/>
      <c r="E39" s="189"/>
      <c r="F39" s="189"/>
      <c r="G39" s="189"/>
      <c r="H39" s="189"/>
      <c r="I39" s="189"/>
      <c r="J39" s="189"/>
      <c r="K39" s="189"/>
      <c r="M39" s="28"/>
      <c r="N39" s="28"/>
      <c r="O39" s="28"/>
    </row>
    <row r="40" spans="1:15" x14ac:dyDescent="0.25">
      <c r="A40" s="28"/>
      <c r="B40" s="189" t="s">
        <v>624</v>
      </c>
      <c r="C40" s="189"/>
      <c r="D40" s="189"/>
      <c r="E40" s="189"/>
      <c r="F40" s="189"/>
      <c r="G40" s="189"/>
      <c r="H40" s="189"/>
      <c r="I40" s="189"/>
      <c r="J40" s="189"/>
      <c r="K40" s="189"/>
      <c r="M40" s="28"/>
      <c r="N40" s="28"/>
      <c r="O40" s="28"/>
    </row>
    <row r="41" spans="1:15" x14ac:dyDescent="0.25">
      <c r="A41" s="28"/>
      <c r="B41" s="69"/>
      <c r="C41" s="87"/>
      <c r="D41" s="87"/>
      <c r="E41" s="87"/>
      <c r="F41" s="87"/>
      <c r="G41" s="87"/>
      <c r="H41" s="87"/>
      <c r="I41" s="88"/>
      <c r="J41" s="87"/>
      <c r="K41" s="87"/>
      <c r="L41" s="28"/>
      <c r="M41" s="28"/>
      <c r="N41" s="28"/>
      <c r="O41" s="28"/>
    </row>
    <row r="42" spans="1:15" x14ac:dyDescent="0.25">
      <c r="A42" s="28"/>
      <c r="B42" s="75"/>
      <c r="C42" s="28"/>
      <c r="D42" s="28"/>
      <c r="E42" s="28"/>
      <c r="F42" s="28"/>
      <c r="G42" s="28"/>
      <c r="H42" s="28"/>
      <c r="I42" s="215"/>
      <c r="J42" s="28"/>
      <c r="K42" s="28"/>
      <c r="N42" s="28"/>
      <c r="O42" s="28"/>
    </row>
    <row r="43" spans="1:15" x14ac:dyDescent="0.25">
      <c r="A43" s="28"/>
      <c r="B43" s="22"/>
      <c r="L43" s="28"/>
      <c r="N43" s="28"/>
      <c r="O43" s="28"/>
    </row>
    <row r="44" spans="1:15" x14ac:dyDescent="0.25">
      <c r="A44" s="28"/>
      <c r="B44" s="22"/>
      <c r="L44" s="28"/>
      <c r="N44" s="28"/>
      <c r="O44" s="28" t="s">
        <v>34</v>
      </c>
    </row>
    <row r="45" spans="1:15" x14ac:dyDescent="0.25">
      <c r="A45" s="28"/>
      <c r="B45" s="22"/>
      <c r="L45" s="28"/>
      <c r="M45" s="28"/>
      <c r="N45" s="28"/>
      <c r="O45" s="28"/>
    </row>
    <row r="46" spans="1:15" x14ac:dyDescent="0.25">
      <c r="B46" s="189"/>
      <c r="C46" s="64"/>
      <c r="D46" s="64"/>
      <c r="E46" s="64"/>
      <c r="F46" s="64"/>
      <c r="G46" s="64"/>
      <c r="H46" s="64"/>
      <c r="I46" s="64"/>
      <c r="J46" s="64"/>
      <c r="K46" s="64"/>
      <c r="L46" s="65"/>
      <c r="M46" s="28"/>
      <c r="N46" s="28"/>
      <c r="O46" s="28"/>
    </row>
    <row r="47" spans="1:15" x14ac:dyDescent="0.25">
      <c r="B47" s="189"/>
    </row>
    <row r="48" spans="1:15" x14ac:dyDescent="0.25">
      <c r="B48" s="22"/>
      <c r="C48" s="28"/>
      <c r="D48" s="28"/>
      <c r="E48" s="28"/>
      <c r="F48" s="28"/>
      <c r="G48" s="28"/>
      <c r="H48" s="28"/>
      <c r="I48" s="215"/>
      <c r="J48" s="28"/>
    </row>
    <row r="49" spans="2:28" x14ac:dyDescent="0.25">
      <c r="B49" s="189"/>
      <c r="C49" s="64"/>
      <c r="D49" s="64"/>
      <c r="E49" s="64"/>
      <c r="F49" s="64"/>
      <c r="G49" s="64"/>
      <c r="H49" s="64"/>
      <c r="I49" s="64"/>
      <c r="J49" s="64"/>
      <c r="K49" s="64"/>
      <c r="L49" s="65"/>
      <c r="O49" t="s">
        <v>34</v>
      </c>
    </row>
    <row r="50" spans="2:28" x14ac:dyDescent="0.25">
      <c r="B50" s="189"/>
      <c r="C50" s="189"/>
      <c r="D50" s="189"/>
      <c r="E50" s="189"/>
      <c r="F50" s="189"/>
      <c r="G50" s="189"/>
      <c r="H50" s="189"/>
      <c r="I50" s="189"/>
      <c r="J50" s="189"/>
      <c r="K50" s="189"/>
      <c r="N50" t="s">
        <v>34</v>
      </c>
    </row>
    <row r="51" spans="2:28" x14ac:dyDescent="0.25">
      <c r="B51" s="189"/>
      <c r="C51" s="189"/>
      <c r="D51" s="189"/>
      <c r="E51" s="189"/>
      <c r="F51" s="189"/>
      <c r="G51" s="189"/>
      <c r="H51" s="189"/>
      <c r="I51" s="189"/>
      <c r="J51" s="189"/>
      <c r="K51" s="189"/>
    </row>
    <row r="52" spans="2:28" x14ac:dyDescent="0.25">
      <c r="B52" s="22"/>
      <c r="C52" s="28"/>
      <c r="D52" s="28"/>
      <c r="E52" s="28"/>
      <c r="F52" s="28"/>
      <c r="G52" s="28"/>
      <c r="H52" s="215"/>
      <c r="I52" s="28"/>
      <c r="J52" s="189"/>
      <c r="K52" s="28"/>
    </row>
    <row r="53" spans="2:28" x14ac:dyDescent="0.25">
      <c r="N53" t="s">
        <v>34</v>
      </c>
      <c r="AA53" s="28"/>
      <c r="AB53" s="31"/>
    </row>
    <row r="54" spans="2:28" x14ac:dyDescent="0.25">
      <c r="AA54" s="28"/>
      <c r="AB54" s="31"/>
    </row>
    <row r="55" spans="2:28" x14ac:dyDescent="0.25">
      <c r="AA55" s="28"/>
      <c r="AB55" s="31"/>
    </row>
  </sheetData>
  <pageMargins left="0.7" right="0.7" top="0.75" bottom="0.75" header="0.3" footer="0.3"/>
  <pageSetup scale="60" orientation="landscape" verticalDpi="597"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82"/>
  <sheetViews>
    <sheetView workbookViewId="0"/>
  </sheetViews>
  <sheetFormatPr defaultRowHeight="15" x14ac:dyDescent="0.25"/>
  <cols>
    <col min="1" max="1" width="22.28515625" customWidth="1"/>
    <col min="2" max="2" width="8.28515625" customWidth="1"/>
    <col min="4" max="4" width="8.7109375" customWidth="1"/>
    <col min="5" max="7" width="10.140625" customWidth="1"/>
    <col min="8" max="8" width="10.42578125" customWidth="1"/>
    <col min="9" max="9" width="6.140625" customWidth="1"/>
    <col min="10" max="10" width="10" customWidth="1"/>
    <col min="11" max="11" width="6.7109375" customWidth="1"/>
    <col min="12" max="12" width="9.42578125" customWidth="1"/>
    <col min="13" max="13" width="12.28515625" customWidth="1"/>
    <col min="14" max="14" width="11" hidden="1" customWidth="1"/>
    <col min="15" max="15" width="11.5703125" hidden="1" customWidth="1"/>
  </cols>
  <sheetData>
    <row r="1" spans="1:15" x14ac:dyDescent="0.25">
      <c r="A1" s="225" t="s">
        <v>819</v>
      </c>
    </row>
    <row r="2" spans="1:15" ht="81.75" thickBot="1" x14ac:dyDescent="0.3">
      <c r="A2" s="349" t="s">
        <v>783</v>
      </c>
      <c r="B2" s="324" t="s">
        <v>354</v>
      </c>
      <c r="C2" s="324" t="s">
        <v>758</v>
      </c>
      <c r="D2" s="325" t="s">
        <v>759</v>
      </c>
      <c r="E2" s="325" t="s">
        <v>760</v>
      </c>
      <c r="F2" s="325" t="s">
        <v>789</v>
      </c>
      <c r="G2" s="325" t="s">
        <v>786</v>
      </c>
      <c r="H2" s="326" t="s">
        <v>818</v>
      </c>
      <c r="I2" s="327" t="s">
        <v>761</v>
      </c>
      <c r="J2" s="325" t="s">
        <v>762</v>
      </c>
      <c r="K2" s="325" t="s">
        <v>763</v>
      </c>
      <c r="N2" s="325" t="s">
        <v>787</v>
      </c>
      <c r="O2" s="325" t="s">
        <v>788</v>
      </c>
    </row>
    <row r="3" spans="1:15" x14ac:dyDescent="0.25">
      <c r="A3" s="288" t="s">
        <v>764</v>
      </c>
      <c r="B3" s="415" t="s">
        <v>381</v>
      </c>
      <c r="C3" s="300">
        <v>22.4</v>
      </c>
      <c r="D3" s="290">
        <v>9.27</v>
      </c>
      <c r="E3" s="290">
        <v>9.4700000000000006</v>
      </c>
      <c r="F3" s="354" t="s">
        <v>790</v>
      </c>
      <c r="G3" s="289">
        <v>5</v>
      </c>
      <c r="H3" s="291">
        <v>9.9152800513463486</v>
      </c>
      <c r="I3" s="328"/>
      <c r="J3" s="292">
        <v>1</v>
      </c>
      <c r="K3" s="293" t="s">
        <v>509</v>
      </c>
      <c r="N3" s="318">
        <f>'1a'!S19</f>
        <v>11.937997181821004</v>
      </c>
      <c r="O3" s="290">
        <f>N3/G3</f>
        <v>2.3875994363642006</v>
      </c>
    </row>
    <row r="4" spans="1:15" x14ac:dyDescent="0.25">
      <c r="A4" s="288" t="s">
        <v>766</v>
      </c>
      <c r="B4" s="415" t="s">
        <v>383</v>
      </c>
      <c r="C4" s="300">
        <v>20.9</v>
      </c>
      <c r="D4" s="290">
        <v>9.1999999999999993</v>
      </c>
      <c r="E4" s="290">
        <v>9.23</v>
      </c>
      <c r="F4" s="354" t="s">
        <v>791</v>
      </c>
      <c r="G4" s="289">
        <v>30</v>
      </c>
      <c r="H4" s="291">
        <v>13.589998772051223</v>
      </c>
      <c r="I4" s="328"/>
      <c r="J4" s="292">
        <v>4</v>
      </c>
      <c r="K4" s="293">
        <v>0.66700000000000004</v>
      </c>
      <c r="N4" s="318">
        <f>'1b'!S19</f>
        <v>16.742878487167104</v>
      </c>
      <c r="O4" s="290">
        <f>N4/G4</f>
        <v>0.55809594957223685</v>
      </c>
    </row>
    <row r="5" spans="1:15" x14ac:dyDescent="0.25">
      <c r="A5" s="294"/>
      <c r="B5" s="415" t="s">
        <v>385</v>
      </c>
      <c r="C5" s="300">
        <v>19.850000000000001</v>
      </c>
      <c r="D5" s="290">
        <v>9.26</v>
      </c>
      <c r="E5" s="348">
        <v>9.2949999999999999</v>
      </c>
      <c r="F5" s="354" t="s">
        <v>792</v>
      </c>
      <c r="G5" s="289">
        <v>10</v>
      </c>
      <c r="H5" s="291">
        <v>7.9495822208260201</v>
      </c>
      <c r="I5" s="328"/>
      <c r="J5" s="292">
        <v>2</v>
      </c>
      <c r="K5" s="293">
        <v>0.97499999999999998</v>
      </c>
      <c r="N5" s="318">
        <f>'1c'!S19</f>
        <v>9.8912676782627749</v>
      </c>
      <c r="O5" s="290">
        <f>N5/G5</f>
        <v>0.98912676782627751</v>
      </c>
    </row>
    <row r="6" spans="1:15" x14ac:dyDescent="0.25">
      <c r="A6" s="295" t="s">
        <v>767</v>
      </c>
      <c r="B6" s="416"/>
      <c r="C6" s="347">
        <f t="shared" ref="C6:E6" si="0">AVERAGE(C3:C5)</f>
        <v>21.05</v>
      </c>
      <c r="D6" s="335">
        <f t="shared" si="0"/>
        <v>9.2433333333333323</v>
      </c>
      <c r="E6" s="335">
        <f t="shared" si="0"/>
        <v>9.3316666666666688</v>
      </c>
      <c r="F6" s="335"/>
      <c r="G6" s="335"/>
      <c r="H6" s="336">
        <f>AVERAGE(H3:H5)</f>
        <v>10.484953681407864</v>
      </c>
      <c r="I6" s="364">
        <f>_xlfn.STDEV.P(H3:H5)</f>
        <v>2.3376584796792441</v>
      </c>
      <c r="J6" s="297"/>
      <c r="K6" s="298"/>
      <c r="N6" s="321"/>
      <c r="O6" s="296"/>
    </row>
    <row r="7" spans="1:15" x14ac:dyDescent="0.25">
      <c r="A7" s="289"/>
      <c r="B7" s="415" t="s">
        <v>380</v>
      </c>
      <c r="C7" s="300">
        <v>4.6500000000000004</v>
      </c>
      <c r="D7" s="290">
        <v>9.15</v>
      </c>
      <c r="E7" s="290">
        <v>9.0749999999999993</v>
      </c>
      <c r="F7" s="354" t="s">
        <v>793</v>
      </c>
      <c r="G7" s="289">
        <v>10</v>
      </c>
      <c r="H7" s="291">
        <v>13.918511037601895</v>
      </c>
      <c r="I7" s="328"/>
      <c r="J7" s="292">
        <v>2</v>
      </c>
      <c r="K7" s="293">
        <v>0.78800000000000003</v>
      </c>
      <c r="N7" s="318">
        <f>'12a'!S19</f>
        <v>17.464251724430977</v>
      </c>
      <c r="O7" s="290">
        <f>N7/G7</f>
        <v>1.7464251724430977</v>
      </c>
    </row>
    <row r="8" spans="1:15" x14ac:dyDescent="0.25">
      <c r="A8" s="289"/>
      <c r="B8" s="415" t="s">
        <v>382</v>
      </c>
      <c r="C8" s="300">
        <v>4.45</v>
      </c>
      <c r="D8" s="290">
        <v>9.31</v>
      </c>
      <c r="E8" s="290">
        <v>9.5316666666666681</v>
      </c>
      <c r="F8" s="352">
        <v>5.0999999999999996</v>
      </c>
      <c r="G8" s="289">
        <v>60</v>
      </c>
      <c r="H8" s="291">
        <v>48.685143543922763</v>
      </c>
      <c r="I8" s="328"/>
      <c r="J8" s="292">
        <v>5</v>
      </c>
      <c r="K8" s="293">
        <v>0.54800000000000004</v>
      </c>
      <c r="N8" s="318">
        <f>'12b'!S19</f>
        <v>43.451490612951055</v>
      </c>
      <c r="O8" s="290">
        <f>N8/G8</f>
        <v>0.72419151021585093</v>
      </c>
    </row>
    <row r="9" spans="1:15" x14ac:dyDescent="0.25">
      <c r="A9" s="289"/>
      <c r="B9" s="415" t="s">
        <v>384</v>
      </c>
      <c r="C9" s="300">
        <v>4.7</v>
      </c>
      <c r="D9" s="290">
        <v>9.33</v>
      </c>
      <c r="E9" s="290">
        <v>10.475</v>
      </c>
      <c r="F9" s="354" t="s">
        <v>794</v>
      </c>
      <c r="G9" s="289">
        <v>10</v>
      </c>
      <c r="H9" s="291">
        <v>14.57694207682259</v>
      </c>
      <c r="I9" s="328"/>
      <c r="J9" s="292">
        <v>2</v>
      </c>
      <c r="K9" s="293">
        <v>0.83499999999999996</v>
      </c>
      <c r="N9" s="318">
        <f>'12c'!S19</f>
        <v>18.520004908603099</v>
      </c>
      <c r="O9" s="290">
        <f>N9/G9</f>
        <v>1.8520004908603098</v>
      </c>
    </row>
    <row r="10" spans="1:15" ht="15.75" thickBot="1" x14ac:dyDescent="0.3">
      <c r="A10" s="340" t="s">
        <v>767</v>
      </c>
      <c r="B10" s="417"/>
      <c r="C10" s="346">
        <f>AVERAGE(C7:C9)</f>
        <v>4.6000000000000005</v>
      </c>
      <c r="D10" s="341">
        <f>AVERAGE(D7:D9)</f>
        <v>9.2633333333333336</v>
      </c>
      <c r="E10" s="341">
        <f>AVERAGE(E7:E9)</f>
        <v>9.6938888888888908</v>
      </c>
      <c r="F10" s="351"/>
      <c r="G10" s="341"/>
      <c r="H10" s="342">
        <f>AVERAGE(H7:H9)</f>
        <v>25.726865552782414</v>
      </c>
      <c r="I10" s="365">
        <f>_xlfn.STDEV.P(H7:H9)</f>
        <v>16.23617933499569</v>
      </c>
      <c r="J10" s="343"/>
      <c r="K10" s="344"/>
      <c r="N10" s="345"/>
      <c r="O10" s="341"/>
    </row>
    <row r="11" spans="1:15" x14ac:dyDescent="0.25">
      <c r="A11" s="299" t="s">
        <v>768</v>
      </c>
      <c r="B11" s="415" t="s">
        <v>357</v>
      </c>
      <c r="C11" s="300">
        <v>22.48</v>
      </c>
      <c r="D11" s="290">
        <v>8.98</v>
      </c>
      <c r="E11" s="290">
        <v>8.8800000000000008</v>
      </c>
      <c r="F11" s="354" t="s">
        <v>795</v>
      </c>
      <c r="G11" s="289">
        <v>5</v>
      </c>
      <c r="H11" s="301">
        <v>5.9113300492610845</v>
      </c>
      <c r="I11" s="328"/>
      <c r="J11" s="292">
        <v>1</v>
      </c>
      <c r="K11" s="293" t="s">
        <v>509</v>
      </c>
      <c r="N11" s="318">
        <f>'3a'!S18</f>
        <v>6.3103448275862073</v>
      </c>
      <c r="O11" s="290">
        <f>N11/G11</f>
        <v>1.2620689655172415</v>
      </c>
    </row>
    <row r="12" spans="1:15" x14ac:dyDescent="0.25">
      <c r="A12" s="299" t="s">
        <v>769</v>
      </c>
      <c r="B12" s="415" t="s">
        <v>359</v>
      </c>
      <c r="C12" s="300">
        <v>23.85</v>
      </c>
      <c r="D12" s="290">
        <v>8.76</v>
      </c>
      <c r="E12" s="290">
        <v>8.7650000000000006</v>
      </c>
      <c r="F12" s="354" t="s">
        <v>796</v>
      </c>
      <c r="G12" s="289">
        <v>10</v>
      </c>
      <c r="H12" s="291">
        <v>5.5367829662500503</v>
      </c>
      <c r="I12" s="328"/>
      <c r="J12" s="292">
        <v>2</v>
      </c>
      <c r="K12" s="293">
        <v>0.99866999999999995</v>
      </c>
      <c r="N12" s="318">
        <f>'3b'!S18</f>
        <v>7.0054146480478767</v>
      </c>
      <c r="O12" s="290">
        <f>N12/G12</f>
        <v>0.70054146480478763</v>
      </c>
    </row>
    <row r="13" spans="1:15" x14ac:dyDescent="0.25">
      <c r="A13" s="299" t="s">
        <v>770</v>
      </c>
      <c r="B13" s="415" t="s">
        <v>361</v>
      </c>
      <c r="C13" s="300">
        <v>23.7</v>
      </c>
      <c r="D13" s="290">
        <v>8.64</v>
      </c>
      <c r="E13" s="290">
        <v>8.6849999999999987</v>
      </c>
      <c r="F13" s="354" t="s">
        <v>797</v>
      </c>
      <c r="G13" s="289">
        <v>10</v>
      </c>
      <c r="H13" s="291">
        <v>5.5336290027261263</v>
      </c>
      <c r="I13" s="328"/>
      <c r="J13" s="292">
        <v>2</v>
      </c>
      <c r="K13" s="293">
        <v>0.92689999999999995</v>
      </c>
      <c r="N13" s="318">
        <f>'3c'!S19</f>
        <v>6.9239532896610667</v>
      </c>
      <c r="O13" s="290">
        <f>N13/G13</f>
        <v>0.69239532896610667</v>
      </c>
    </row>
    <row r="14" spans="1:15" x14ac:dyDescent="0.25">
      <c r="A14" s="302" t="s">
        <v>767</v>
      </c>
      <c r="B14" s="415"/>
      <c r="C14" s="304">
        <f>AVERAGE(C11:C13)</f>
        <v>23.343333333333334</v>
      </c>
      <c r="D14" s="305">
        <f>AVERAGE(D11:D13)</f>
        <v>8.7933333333333348</v>
      </c>
      <c r="E14" s="305">
        <f>AVERAGE(E11:E13)</f>
        <v>8.7766666666666673</v>
      </c>
      <c r="F14" s="305"/>
      <c r="G14" s="305"/>
      <c r="H14" s="306">
        <f>AVERAGE(H11:H13)</f>
        <v>5.6605806727457546</v>
      </c>
      <c r="I14" s="366">
        <f>_xlfn.STDEV.P(H11:H13)</f>
        <v>0.17731125972631276</v>
      </c>
      <c r="J14" s="307"/>
      <c r="K14" s="308"/>
      <c r="N14" s="322"/>
      <c r="O14" s="305"/>
    </row>
    <row r="15" spans="1:15" x14ac:dyDescent="0.25">
      <c r="A15" s="309"/>
      <c r="B15" s="418" t="s">
        <v>356</v>
      </c>
      <c r="C15" s="310">
        <v>7.9</v>
      </c>
      <c r="D15" s="317">
        <v>9.31</v>
      </c>
      <c r="E15" s="363">
        <v>9.2799999999999994</v>
      </c>
      <c r="F15" s="361" t="s">
        <v>798</v>
      </c>
      <c r="G15" s="309">
        <v>30</v>
      </c>
      <c r="H15" s="311">
        <v>9.5026834610430253</v>
      </c>
      <c r="I15" s="329"/>
      <c r="J15" s="312">
        <v>3</v>
      </c>
      <c r="K15" s="313">
        <v>0.78029999999999999</v>
      </c>
      <c r="N15" s="323">
        <f>'14a'!S19</f>
        <v>19.934405300414916</v>
      </c>
      <c r="O15" s="317">
        <f>N15/G15</f>
        <v>0.66448017668049719</v>
      </c>
    </row>
    <row r="16" spans="1:15" x14ac:dyDescent="0.25">
      <c r="A16" s="289"/>
      <c r="B16" s="415" t="s">
        <v>358</v>
      </c>
      <c r="C16" s="300">
        <v>6.65</v>
      </c>
      <c r="D16" s="290">
        <v>9.34</v>
      </c>
      <c r="E16" s="290">
        <v>9.34</v>
      </c>
      <c r="F16" s="354" t="s">
        <v>799</v>
      </c>
      <c r="G16" s="289">
        <v>15</v>
      </c>
      <c r="H16" s="291">
        <v>10.829174469936804</v>
      </c>
      <c r="I16" s="328"/>
      <c r="J16" s="292">
        <v>3</v>
      </c>
      <c r="K16" s="293">
        <v>0.90375000000000005</v>
      </c>
      <c r="N16" s="318">
        <f>'14b'!S19</f>
        <v>13.474200334218867</v>
      </c>
      <c r="O16" s="290">
        <f>N16/G16</f>
        <v>0.89828002228125781</v>
      </c>
    </row>
    <row r="17" spans="1:15" x14ac:dyDescent="0.25">
      <c r="A17" s="289"/>
      <c r="B17" s="415" t="s">
        <v>360</v>
      </c>
      <c r="C17" s="300">
        <v>5.6</v>
      </c>
      <c r="D17" s="290">
        <v>9.24</v>
      </c>
      <c r="E17" s="290">
        <v>9.1720000000000006</v>
      </c>
      <c r="F17" s="355">
        <v>5.5</v>
      </c>
      <c r="G17" s="289">
        <v>30</v>
      </c>
      <c r="H17" s="291">
        <v>24.782405809314277</v>
      </c>
      <c r="I17" s="328"/>
      <c r="J17" s="314">
        <v>5</v>
      </c>
      <c r="K17" s="64">
        <f xml:space="preserve"> 0.64839</f>
        <v>0.64839000000000002</v>
      </c>
      <c r="N17" s="318">
        <f>'14c'!S19</f>
        <v>23.85306559146499</v>
      </c>
      <c r="O17" s="290">
        <f>N17/G17</f>
        <v>0.79510218638216634</v>
      </c>
    </row>
    <row r="18" spans="1:15" ht="15.75" thickBot="1" x14ac:dyDescent="0.3">
      <c r="A18" s="340" t="s">
        <v>767</v>
      </c>
      <c r="B18" s="417"/>
      <c r="C18" s="346">
        <f>AVERAGE(C15:C17)</f>
        <v>6.7166666666666659</v>
      </c>
      <c r="D18" s="341">
        <f>AVERAGE(D15:D17)</f>
        <v>9.2966666666666669</v>
      </c>
      <c r="E18" s="341">
        <f>AVERAGE(E15:E17)</f>
        <v>9.2639999999999993</v>
      </c>
      <c r="F18" s="350"/>
      <c r="G18" s="341"/>
      <c r="H18" s="342">
        <f>AVERAGE(H15:H17)</f>
        <v>15.038087913431369</v>
      </c>
      <c r="I18" s="365">
        <f>_xlfn.STDEV.P(H15:H17)</f>
        <v>6.9115214456821752</v>
      </c>
      <c r="J18" s="343"/>
      <c r="K18" s="344"/>
      <c r="N18" s="345"/>
      <c r="O18" s="341"/>
    </row>
    <row r="19" spans="1:15" x14ac:dyDescent="0.25">
      <c r="A19" s="299" t="s">
        <v>771</v>
      </c>
      <c r="B19" s="415" t="s">
        <v>514</v>
      </c>
      <c r="C19" s="300">
        <v>20.2</v>
      </c>
      <c r="D19" s="290">
        <v>9.27</v>
      </c>
      <c r="E19" s="290">
        <v>9.2899999999999991</v>
      </c>
      <c r="F19" s="354" t="s">
        <v>800</v>
      </c>
      <c r="G19" s="289">
        <v>15</v>
      </c>
      <c r="H19" s="301">
        <v>10.381059222059481</v>
      </c>
      <c r="I19" s="328"/>
      <c r="J19" s="292">
        <v>3</v>
      </c>
      <c r="K19" s="293">
        <v>0.86960000000000004</v>
      </c>
      <c r="N19" s="318">
        <f>'5a'!S19</f>
        <v>13.58880652167586</v>
      </c>
      <c r="O19" s="290">
        <f>N19/G19</f>
        <v>0.90592043477839068</v>
      </c>
    </row>
    <row r="20" spans="1:15" x14ac:dyDescent="0.25">
      <c r="A20" s="315" t="s">
        <v>772</v>
      </c>
      <c r="B20" s="419" t="s">
        <v>519</v>
      </c>
      <c r="C20" s="300">
        <v>19.5</v>
      </c>
      <c r="D20" s="290">
        <v>9.23</v>
      </c>
      <c r="E20" s="290">
        <v>9.2349999999999994</v>
      </c>
      <c r="F20" s="354" t="s">
        <v>801</v>
      </c>
      <c r="G20" s="289">
        <v>10</v>
      </c>
      <c r="H20" s="291">
        <v>5.2979606047629231</v>
      </c>
      <c r="I20" s="328"/>
      <c r="J20" s="292">
        <v>2</v>
      </c>
      <c r="K20" s="293">
        <v>0.99990000000000001</v>
      </c>
      <c r="N20" s="318">
        <f>'5b'!S19</f>
        <v>7.2317162255013896</v>
      </c>
      <c r="O20" s="290">
        <f>N20/G20</f>
        <v>0.723171622550139</v>
      </c>
    </row>
    <row r="21" spans="1:15" x14ac:dyDescent="0.25">
      <c r="A21" s="316"/>
      <c r="B21" s="419" t="s">
        <v>522</v>
      </c>
      <c r="C21" s="300">
        <v>20.2</v>
      </c>
      <c r="D21" s="290">
        <v>9.35</v>
      </c>
      <c r="E21" s="290">
        <v>9.35</v>
      </c>
      <c r="F21" s="354" t="s">
        <v>802</v>
      </c>
      <c r="G21" s="289">
        <v>10</v>
      </c>
      <c r="H21" s="291">
        <v>12.257713392008702</v>
      </c>
      <c r="I21" s="328"/>
      <c r="J21" s="292">
        <v>2</v>
      </c>
      <c r="K21" s="293">
        <v>0.84099999999999997</v>
      </c>
      <c r="N21" s="318">
        <f>'5c'!S19</f>
        <v>14.179109966206063</v>
      </c>
      <c r="O21" s="290">
        <f>N21/G21</f>
        <v>1.4179109966206063</v>
      </c>
    </row>
    <row r="22" spans="1:15" x14ac:dyDescent="0.25">
      <c r="A22" s="302" t="s">
        <v>767</v>
      </c>
      <c r="B22" s="415"/>
      <c r="C22" s="304">
        <f>AVERAGE(C19:C21)</f>
        <v>19.966666666666669</v>
      </c>
      <c r="D22" s="305">
        <f>AVERAGE(D19:D21)</f>
        <v>9.2833333333333332</v>
      </c>
      <c r="E22" s="305">
        <f>AVERAGE(E19:E21)</f>
        <v>9.2916666666666661</v>
      </c>
      <c r="F22" s="353"/>
      <c r="G22" s="305"/>
      <c r="H22" s="306">
        <f>AVERAGE(H19:H21)</f>
        <v>9.3122444062770366</v>
      </c>
      <c r="I22" s="366">
        <f>_xlfn.STDEV.P(H19:H21)</f>
        <v>2.9401035750146445</v>
      </c>
      <c r="J22" s="307"/>
      <c r="K22" s="308"/>
      <c r="N22" s="322"/>
      <c r="O22" s="305"/>
    </row>
    <row r="23" spans="1:15" x14ac:dyDescent="0.25">
      <c r="A23" s="309"/>
      <c r="B23" s="418" t="s">
        <v>500</v>
      </c>
      <c r="C23" s="310">
        <v>4.3</v>
      </c>
      <c r="D23" s="317">
        <v>6.9350000000000005</v>
      </c>
      <c r="E23" s="363">
        <v>9.6</v>
      </c>
      <c r="F23" s="361" t="s">
        <v>803</v>
      </c>
      <c r="G23" s="309">
        <v>10</v>
      </c>
      <c r="H23" s="311">
        <v>8.8507039089955999</v>
      </c>
      <c r="I23" s="329"/>
      <c r="J23" s="312">
        <v>2</v>
      </c>
      <c r="K23" s="313">
        <v>0.98799999999999999</v>
      </c>
      <c r="N23" s="323">
        <f>'16a'!S19</f>
        <v>11.058954534290002</v>
      </c>
      <c r="O23" s="317">
        <f>N23/G23</f>
        <v>1.1058954534290002</v>
      </c>
    </row>
    <row r="24" spans="1:15" x14ac:dyDescent="0.25">
      <c r="A24" s="289"/>
      <c r="B24" s="415" t="s">
        <v>501</v>
      </c>
      <c r="C24" s="300">
        <v>3.6666666666666665</v>
      </c>
      <c r="D24" s="290">
        <v>9.52</v>
      </c>
      <c r="E24" s="290">
        <v>9.5299999999999994</v>
      </c>
      <c r="F24" s="354" t="s">
        <v>794</v>
      </c>
      <c r="G24" s="289">
        <v>15</v>
      </c>
      <c r="H24" s="291">
        <v>11.678153948519306</v>
      </c>
      <c r="I24" s="328"/>
      <c r="J24" s="292">
        <v>3</v>
      </c>
      <c r="K24" s="293">
        <v>0.94940000000000002</v>
      </c>
      <c r="N24" s="318">
        <f>'16b'!S19</f>
        <v>14.837094591593779</v>
      </c>
      <c r="O24" s="290">
        <f>N24/G24</f>
        <v>0.98913963943958527</v>
      </c>
    </row>
    <row r="25" spans="1:15" x14ac:dyDescent="0.25">
      <c r="A25" s="289"/>
      <c r="B25" s="415" t="s">
        <v>773</v>
      </c>
      <c r="C25" s="300">
        <v>3.8</v>
      </c>
      <c r="D25" s="290">
        <v>9.5</v>
      </c>
      <c r="E25" s="290">
        <v>9.952</v>
      </c>
      <c r="F25" s="354" t="s">
        <v>804</v>
      </c>
      <c r="G25" s="289">
        <v>10</v>
      </c>
      <c r="H25" s="291">
        <v>12.816383055617434</v>
      </c>
      <c r="I25" s="328"/>
      <c r="J25" s="292">
        <v>2</v>
      </c>
      <c r="K25" s="293">
        <v>0.99219999999999997</v>
      </c>
      <c r="N25" s="318">
        <f>'16cR'!S19</f>
        <v>16.709359408761227</v>
      </c>
      <c r="O25" s="290">
        <f>N25/G25</f>
        <v>1.6709359408761226</v>
      </c>
    </row>
    <row r="26" spans="1:15" ht="15.75" thickBot="1" x14ac:dyDescent="0.3">
      <c r="A26" s="340" t="s">
        <v>767</v>
      </c>
      <c r="B26" s="417"/>
      <c r="C26" s="346">
        <f>AVERAGE(C23:C25)</f>
        <v>3.9222222222222221</v>
      </c>
      <c r="D26" s="341">
        <f>AVERAGE(D23:D25)</f>
        <v>8.6516666666666655</v>
      </c>
      <c r="E26" s="341">
        <f>AVERAGE(E23:E25)</f>
        <v>9.6940000000000008</v>
      </c>
      <c r="F26" s="350"/>
      <c r="G26" s="341"/>
      <c r="H26" s="342">
        <f>AVERAGE(H23:H25)</f>
        <v>11.115080304377448</v>
      </c>
      <c r="I26" s="365">
        <f>_xlfn.STDEV.P(H23:H25)</f>
        <v>1.6672215849596732</v>
      </c>
      <c r="J26" s="343"/>
      <c r="K26" s="344"/>
      <c r="N26" s="345"/>
      <c r="O26" s="341"/>
    </row>
    <row r="27" spans="1:15" x14ac:dyDescent="0.25">
      <c r="A27" s="299" t="s">
        <v>774</v>
      </c>
      <c r="B27" s="415" t="s">
        <v>363</v>
      </c>
      <c r="C27" s="300">
        <v>22.7</v>
      </c>
      <c r="D27" s="290">
        <v>8.85</v>
      </c>
      <c r="E27" s="290">
        <v>8.7100000000000009</v>
      </c>
      <c r="F27" s="354" t="s">
        <v>805</v>
      </c>
      <c r="G27" s="289">
        <v>5</v>
      </c>
      <c r="H27" s="301">
        <v>4.4642857142857144</v>
      </c>
      <c r="I27" s="328"/>
      <c r="J27" s="292">
        <v>1</v>
      </c>
      <c r="K27" s="293" t="s">
        <v>509</v>
      </c>
      <c r="N27" s="318">
        <f>'7a'!S19</f>
        <v>5.5625</v>
      </c>
      <c r="O27" s="290">
        <f>N27/G27</f>
        <v>1.1125</v>
      </c>
    </row>
    <row r="28" spans="1:15" x14ac:dyDescent="0.25">
      <c r="A28" s="315" t="s">
        <v>769</v>
      </c>
      <c r="B28" s="419" t="s">
        <v>365</v>
      </c>
      <c r="C28" s="300">
        <v>21.7</v>
      </c>
      <c r="D28" s="290">
        <v>9.07</v>
      </c>
      <c r="E28" s="290">
        <v>9.02</v>
      </c>
      <c r="F28" s="354" t="s">
        <v>797</v>
      </c>
      <c r="G28" s="289">
        <v>5</v>
      </c>
      <c r="H28" s="291">
        <v>4.7751691205730209</v>
      </c>
      <c r="I28" s="328"/>
      <c r="J28" s="292">
        <v>1</v>
      </c>
      <c r="K28" s="293" t="s">
        <v>509</v>
      </c>
      <c r="N28" s="318">
        <f>'7b'!S19</f>
        <v>5.974930362116992</v>
      </c>
      <c r="O28" s="290">
        <f>N28/G28</f>
        <v>1.1949860724233985</v>
      </c>
    </row>
    <row r="29" spans="1:15" x14ac:dyDescent="0.25">
      <c r="A29" s="315" t="s">
        <v>770</v>
      </c>
      <c r="B29" s="419" t="s">
        <v>367</v>
      </c>
      <c r="C29" s="300">
        <v>21.7</v>
      </c>
      <c r="D29" s="290">
        <v>9.09</v>
      </c>
      <c r="E29" s="290">
        <v>8.995000000000001</v>
      </c>
      <c r="F29" s="354" t="s">
        <v>806</v>
      </c>
      <c r="G29" s="289">
        <v>10</v>
      </c>
      <c r="H29" s="291">
        <v>5.3908355795148246</v>
      </c>
      <c r="I29" s="328"/>
      <c r="J29" s="292">
        <v>2</v>
      </c>
      <c r="K29" s="293">
        <v>0.98714999999999997</v>
      </c>
      <c r="N29" s="318">
        <f>'7c'!S19</f>
        <v>7.3374498301945037</v>
      </c>
      <c r="O29" s="290">
        <f>N29/G29</f>
        <v>0.73374498301945035</v>
      </c>
    </row>
    <row r="30" spans="1:15" x14ac:dyDescent="0.25">
      <c r="A30" s="302" t="s">
        <v>767</v>
      </c>
      <c r="B30" s="415"/>
      <c r="C30" s="304">
        <f>AVERAGE(C27:C29)</f>
        <v>22.033333333333331</v>
      </c>
      <c r="D30" s="305">
        <f>AVERAGE(D27:D29)</f>
        <v>9.0033333333333339</v>
      </c>
      <c r="E30" s="305">
        <f>AVERAGE(E27:E29)</f>
        <v>8.9083333333333332</v>
      </c>
      <c r="F30" s="353"/>
      <c r="G30" s="305"/>
      <c r="H30" s="306">
        <f>AVERAGE(H27:H29)</f>
        <v>4.8767634714578536</v>
      </c>
      <c r="I30" s="366">
        <f>_xlfn.STDEV.P(H27:H29)</f>
        <v>0.38502356835896284</v>
      </c>
      <c r="J30" s="307"/>
      <c r="K30" s="308"/>
      <c r="N30" s="322"/>
      <c r="O30" s="305"/>
    </row>
    <row r="31" spans="1:15" x14ac:dyDescent="0.25">
      <c r="A31" s="309"/>
      <c r="B31" s="418" t="s">
        <v>362</v>
      </c>
      <c r="C31" s="310">
        <v>4.8499999999999996</v>
      </c>
      <c r="D31" s="317">
        <v>9.25</v>
      </c>
      <c r="E31" s="317">
        <v>9.2125000000000004</v>
      </c>
      <c r="F31" s="361" t="s">
        <v>799</v>
      </c>
      <c r="G31" s="309">
        <v>30</v>
      </c>
      <c r="H31" s="311">
        <v>12.501566194220699</v>
      </c>
      <c r="I31" s="329"/>
      <c r="J31" s="312">
        <v>4</v>
      </c>
      <c r="K31" s="313">
        <v>0.93430000000000002</v>
      </c>
      <c r="N31" s="323">
        <f>'18a'!S19</f>
        <v>15.555073737159104</v>
      </c>
      <c r="O31" s="317">
        <f>N31/G31</f>
        <v>0.51850245790530347</v>
      </c>
    </row>
    <row r="32" spans="1:15" x14ac:dyDescent="0.25">
      <c r="A32" s="289"/>
      <c r="B32" s="415" t="s">
        <v>364</v>
      </c>
      <c r="C32" s="300">
        <v>5.2333333333333334</v>
      </c>
      <c r="D32" s="290">
        <v>9.18</v>
      </c>
      <c r="E32" s="290">
        <v>9.1199999999999992</v>
      </c>
      <c r="F32" s="354" t="s">
        <v>791</v>
      </c>
      <c r="G32" s="289">
        <v>15</v>
      </c>
      <c r="H32" s="291">
        <v>9.8271962738360106</v>
      </c>
      <c r="I32" s="328"/>
      <c r="J32" s="292">
        <v>3</v>
      </c>
      <c r="K32" s="293">
        <v>0.93149999999999999</v>
      </c>
      <c r="N32" s="318">
        <f>'18b'!S19</f>
        <v>12.107105809365963</v>
      </c>
      <c r="O32" s="290">
        <f>N32/G32</f>
        <v>0.80714038729106419</v>
      </c>
    </row>
    <row r="33" spans="1:15" x14ac:dyDescent="0.25">
      <c r="A33" s="289"/>
      <c r="B33" s="415" t="s">
        <v>366</v>
      </c>
      <c r="C33" s="300">
        <v>5.666666666666667</v>
      </c>
      <c r="D33" s="290">
        <v>9.3000000000000007</v>
      </c>
      <c r="E33" s="290">
        <v>9.25</v>
      </c>
      <c r="F33" s="354" t="s">
        <v>807</v>
      </c>
      <c r="G33" s="289">
        <v>15</v>
      </c>
      <c r="H33" s="291">
        <v>9.4793759290986106</v>
      </c>
      <c r="I33" s="328"/>
      <c r="J33" s="292">
        <v>3</v>
      </c>
      <c r="K33" s="293">
        <v>0.93769999999999998</v>
      </c>
      <c r="N33" s="318">
        <f>'18c'!S19</f>
        <v>11.910835854912404</v>
      </c>
      <c r="O33" s="290">
        <f>N33/G33</f>
        <v>0.794055723660827</v>
      </c>
    </row>
    <row r="34" spans="1:15" ht="15.75" thickBot="1" x14ac:dyDescent="0.3">
      <c r="A34" s="340" t="s">
        <v>767</v>
      </c>
      <c r="B34" s="417"/>
      <c r="C34" s="346">
        <f>AVERAGE(C31:C33)</f>
        <v>5.25</v>
      </c>
      <c r="D34" s="341">
        <f>AVERAGE(D31:D33)</f>
        <v>9.2433333333333341</v>
      </c>
      <c r="E34" s="341">
        <f>AVERAGE(E31:E33)</f>
        <v>9.1941666666666659</v>
      </c>
      <c r="F34" s="350"/>
      <c r="G34" s="341"/>
      <c r="H34" s="342">
        <f>AVERAGE(H31:H33)</f>
        <v>10.602712799051773</v>
      </c>
      <c r="I34" s="365">
        <f>_xlfn.STDEV.P(H31:H33)</f>
        <v>1.3501797189786104</v>
      </c>
      <c r="J34" s="343"/>
      <c r="K34" s="344"/>
      <c r="N34" s="345"/>
      <c r="O34" s="341"/>
    </row>
    <row r="35" spans="1:15" x14ac:dyDescent="0.25">
      <c r="A35" s="299" t="s">
        <v>775</v>
      </c>
      <c r="B35" s="415" t="s">
        <v>375</v>
      </c>
      <c r="C35" s="300">
        <v>21.28</v>
      </c>
      <c r="D35" s="290">
        <v>8.2100000000000009</v>
      </c>
      <c r="E35" s="290">
        <v>9.8379999999999992</v>
      </c>
      <c r="F35" s="355" t="s">
        <v>791</v>
      </c>
      <c r="G35" s="289">
        <v>60</v>
      </c>
      <c r="H35" s="301">
        <v>29.193134042384408</v>
      </c>
      <c r="I35" s="328"/>
      <c r="J35" s="292">
        <v>5</v>
      </c>
      <c r="K35" s="293">
        <v>0.88460000000000005</v>
      </c>
      <c r="N35" s="318">
        <f>'10a'!S19</f>
        <v>35.425099920063943</v>
      </c>
      <c r="O35" s="290">
        <f>N35/G35</f>
        <v>0.59041833200106575</v>
      </c>
    </row>
    <row r="36" spans="1:15" x14ac:dyDescent="0.25">
      <c r="A36" s="315" t="s">
        <v>776</v>
      </c>
      <c r="B36" s="415" t="s">
        <v>377</v>
      </c>
      <c r="C36" s="300">
        <v>24.274999999999999</v>
      </c>
      <c r="D36" s="290">
        <v>7.96</v>
      </c>
      <c r="E36" s="290">
        <v>9.9150000000000009</v>
      </c>
      <c r="F36" s="355" t="s">
        <v>808</v>
      </c>
      <c r="G36" s="289">
        <v>60</v>
      </c>
      <c r="H36" s="291">
        <v>26.336569542518568</v>
      </c>
      <c r="I36" s="328"/>
      <c r="J36" s="292">
        <v>4</v>
      </c>
      <c r="K36" s="293">
        <v>0.77539999999999998</v>
      </c>
      <c r="N36" s="318">
        <f>'10b'!S19</f>
        <v>32.584920666481096</v>
      </c>
      <c r="O36" s="290">
        <f>N36/G36</f>
        <v>0.54308201110801824</v>
      </c>
    </row>
    <row r="37" spans="1:15" x14ac:dyDescent="0.25">
      <c r="A37" s="315"/>
      <c r="B37" s="415" t="s">
        <v>379</v>
      </c>
      <c r="C37" s="300">
        <v>21.740000000000002</v>
      </c>
      <c r="D37" s="290">
        <v>8.1199999999999992</v>
      </c>
      <c r="E37" s="290">
        <v>9.7639999999999993</v>
      </c>
      <c r="F37" s="355" t="s">
        <v>809</v>
      </c>
      <c r="G37" s="289">
        <v>60</v>
      </c>
      <c r="H37" s="291">
        <v>28.607716345780123</v>
      </c>
      <c r="I37" s="328"/>
      <c r="J37" s="292">
        <v>5</v>
      </c>
      <c r="K37" s="293">
        <v>0.96460000000000001</v>
      </c>
      <c r="N37" s="318">
        <f>'10c'!S19</f>
        <v>34.517468275105756</v>
      </c>
      <c r="O37" s="290">
        <f>N37/G37</f>
        <v>0.57529113791842923</v>
      </c>
    </row>
    <row r="38" spans="1:15" x14ac:dyDescent="0.25">
      <c r="A38" s="302" t="s">
        <v>767</v>
      </c>
      <c r="B38" s="415"/>
      <c r="C38" s="304">
        <f t="shared" ref="C38:E38" si="1">AVERAGE(C35:C37)</f>
        <v>22.431666666666668</v>
      </c>
      <c r="D38" s="305">
        <f t="shared" si="1"/>
        <v>8.0966666666666658</v>
      </c>
      <c r="E38" s="305">
        <f t="shared" si="1"/>
        <v>9.8390000000000004</v>
      </c>
      <c r="F38" s="356"/>
      <c r="G38" s="305"/>
      <c r="H38" s="306">
        <f>AVERAGE(H35:H37)</f>
        <v>28.045806643561033</v>
      </c>
      <c r="I38" s="366">
        <f>_xlfn.STDEV.P(H35:H37)</f>
        <v>1.2320165233089486</v>
      </c>
      <c r="J38" s="307"/>
      <c r="K38" s="308"/>
      <c r="N38" s="322"/>
      <c r="O38" s="305"/>
    </row>
    <row r="39" spans="1:15" x14ac:dyDescent="0.25">
      <c r="A39" s="309"/>
      <c r="B39" s="418" t="s">
        <v>374</v>
      </c>
      <c r="C39" s="310">
        <v>3.5166666666666671</v>
      </c>
      <c r="D39" s="317">
        <v>8.1999999999999993</v>
      </c>
      <c r="E39" s="317">
        <v>9.8566666666666674</v>
      </c>
      <c r="F39" s="362">
        <v>4.5999999999999996</v>
      </c>
      <c r="G39" s="309">
        <v>60</v>
      </c>
      <c r="H39" s="311">
        <v>93.486001718099132</v>
      </c>
      <c r="I39" s="329"/>
      <c r="J39" s="312">
        <v>6</v>
      </c>
      <c r="K39" s="313">
        <v>0.81030000000000002</v>
      </c>
      <c r="N39" s="323">
        <f>'21a'!S19</f>
        <v>75.256231383069803</v>
      </c>
      <c r="O39" s="317">
        <f>N39/G39</f>
        <v>1.2542705230511635</v>
      </c>
    </row>
    <row r="40" spans="1:15" x14ac:dyDescent="0.25">
      <c r="A40" s="289"/>
      <c r="B40" s="415" t="s">
        <v>376</v>
      </c>
      <c r="C40" s="300">
        <v>4.1399999999999997</v>
      </c>
      <c r="D40" s="290">
        <v>8.58</v>
      </c>
      <c r="E40" s="290">
        <v>10.273999999999999</v>
      </c>
      <c r="F40" s="355">
        <v>4.82</v>
      </c>
      <c r="G40" s="289">
        <v>60</v>
      </c>
      <c r="H40" s="291">
        <v>90.077860726749918</v>
      </c>
      <c r="I40" s="328"/>
      <c r="J40" s="292">
        <v>6</v>
      </c>
      <c r="K40" s="293">
        <v>0.78469999999999995</v>
      </c>
      <c r="N40" s="318">
        <f>'21b'!S19</f>
        <v>75.980675523013545</v>
      </c>
      <c r="O40" s="290">
        <f>N40/G40</f>
        <v>1.2663445920502256</v>
      </c>
    </row>
    <row r="41" spans="1:15" x14ac:dyDescent="0.25">
      <c r="A41" s="289"/>
      <c r="B41" s="415" t="s">
        <v>378</v>
      </c>
      <c r="C41" s="300">
        <v>2.78</v>
      </c>
      <c r="D41" s="290">
        <v>8.43</v>
      </c>
      <c r="E41" s="290">
        <v>10.26</v>
      </c>
      <c r="F41" s="355">
        <v>4.28</v>
      </c>
      <c r="G41" s="289">
        <v>60</v>
      </c>
      <c r="H41" s="291">
        <v>99.578594737594543</v>
      </c>
      <c r="I41" s="328"/>
      <c r="J41" s="292">
        <v>6</v>
      </c>
      <c r="K41" s="293">
        <v>0.81069999999999998</v>
      </c>
      <c r="N41" s="318">
        <f>'21c'!S19</f>
        <v>74.584367458458317</v>
      </c>
      <c r="O41" s="290">
        <f>N41/G41</f>
        <v>1.2430727909743053</v>
      </c>
    </row>
    <row r="42" spans="1:15" ht="15.75" thickBot="1" x14ac:dyDescent="0.3">
      <c r="A42" s="340" t="s">
        <v>767</v>
      </c>
      <c r="B42" s="417"/>
      <c r="C42" s="346">
        <f t="shared" ref="C42:E42" si="2">AVERAGE(C39:C41)</f>
        <v>3.4788888888888887</v>
      </c>
      <c r="D42" s="341">
        <f t="shared" si="2"/>
        <v>8.4033333333333342</v>
      </c>
      <c r="E42" s="341">
        <f t="shared" si="2"/>
        <v>10.130222222222223</v>
      </c>
      <c r="F42" s="357"/>
      <c r="G42" s="341"/>
      <c r="H42" s="342">
        <f>AVERAGE(H39:H41)</f>
        <v>94.380819060814531</v>
      </c>
      <c r="I42" s="365">
        <f>_xlfn.STDEV.P(H39:H41)</f>
        <v>3.9299287732157122</v>
      </c>
      <c r="J42" s="343"/>
      <c r="K42" s="344"/>
      <c r="N42" s="345"/>
      <c r="O42" s="341"/>
    </row>
    <row r="43" spans="1:15" x14ac:dyDescent="0.25">
      <c r="A43" s="299" t="s">
        <v>777</v>
      </c>
      <c r="B43" s="415" t="s">
        <v>525</v>
      </c>
      <c r="C43" s="300">
        <v>20.883333333333333</v>
      </c>
      <c r="D43" s="290">
        <v>7.46</v>
      </c>
      <c r="E43" s="290">
        <v>10.023333333333333</v>
      </c>
      <c r="F43" s="355">
        <v>5</v>
      </c>
      <c r="G43" s="289">
        <v>60</v>
      </c>
      <c r="H43" s="301">
        <v>55</v>
      </c>
      <c r="I43" s="328"/>
      <c r="J43" s="292">
        <v>6</v>
      </c>
      <c r="K43" s="293">
        <v>0.60450000000000004</v>
      </c>
      <c r="N43" s="318">
        <f>'9a'!S19</f>
        <v>48.149313268901551</v>
      </c>
      <c r="O43" s="290">
        <f>N43/G43</f>
        <v>0.80248855448169254</v>
      </c>
    </row>
    <row r="44" spans="1:15" x14ac:dyDescent="0.25">
      <c r="A44" s="315" t="s">
        <v>778</v>
      </c>
      <c r="B44" s="419" t="s">
        <v>564</v>
      </c>
      <c r="C44" s="300">
        <v>19.18</v>
      </c>
      <c r="D44" s="290">
        <v>7.76</v>
      </c>
      <c r="E44" s="290">
        <v>9.9340000000000011</v>
      </c>
      <c r="F44" s="355">
        <v>5.7</v>
      </c>
      <c r="G44" s="289">
        <v>60</v>
      </c>
      <c r="H44" s="291">
        <v>50.269270197550952</v>
      </c>
      <c r="I44" s="328"/>
      <c r="J44" s="292">
        <v>6</v>
      </c>
      <c r="K44" s="293">
        <v>0.80069999999999997</v>
      </c>
      <c r="N44" s="318">
        <f>'9aR'!S19</f>
        <v>50.495481913439932</v>
      </c>
      <c r="O44" s="290">
        <f>N44/G44</f>
        <v>0.84159136522399891</v>
      </c>
    </row>
    <row r="45" spans="1:15" x14ac:dyDescent="0.25">
      <c r="A45" s="289"/>
      <c r="B45" s="415" t="s">
        <v>527</v>
      </c>
      <c r="C45" s="300">
        <v>21.16</v>
      </c>
      <c r="D45" s="290">
        <v>8.24</v>
      </c>
      <c r="E45" s="290">
        <v>10.236000000000001</v>
      </c>
      <c r="F45" s="355" t="s">
        <v>810</v>
      </c>
      <c r="G45" s="289">
        <v>60</v>
      </c>
      <c r="H45" s="291">
        <v>24.045163240357766</v>
      </c>
      <c r="I45" s="328"/>
      <c r="J45" s="292">
        <v>5</v>
      </c>
      <c r="K45" s="293">
        <v>0.81440000000000001</v>
      </c>
      <c r="N45" s="318">
        <f>'9b'!S19</f>
        <v>31.390960610287063</v>
      </c>
      <c r="O45" s="290">
        <f>N45/G45</f>
        <v>0.5231826768381177</v>
      </c>
    </row>
    <row r="46" spans="1:15" x14ac:dyDescent="0.25">
      <c r="A46" s="289"/>
      <c r="B46" s="415" t="s">
        <v>531</v>
      </c>
      <c r="C46" s="300">
        <v>19.399999999999999</v>
      </c>
      <c r="D46" s="290">
        <v>7.85</v>
      </c>
      <c r="E46" s="290">
        <v>10.069999999999999</v>
      </c>
      <c r="F46" s="355">
        <v>6.3</v>
      </c>
      <c r="G46" s="289">
        <v>60</v>
      </c>
      <c r="H46" s="291">
        <v>40.795982853065915</v>
      </c>
      <c r="I46" s="328"/>
      <c r="J46" s="292">
        <v>5</v>
      </c>
      <c r="K46" s="293">
        <v>0.4425</v>
      </c>
      <c r="N46" s="318">
        <f>'9c'!S18</f>
        <v>44.977571095505162</v>
      </c>
      <c r="O46" s="290">
        <f>N46/G46</f>
        <v>0.74962618492508604</v>
      </c>
    </row>
    <row r="47" spans="1:15" x14ac:dyDescent="0.25">
      <c r="A47" s="302" t="s">
        <v>767</v>
      </c>
      <c r="B47" s="415"/>
      <c r="C47" s="304">
        <f>AVERAGE(C43:C46)</f>
        <v>20.155833333333334</v>
      </c>
      <c r="D47" s="305">
        <f>AVERAGE(D43:D46)</f>
        <v>7.8275000000000006</v>
      </c>
      <c r="E47" s="305">
        <f>AVERAGE(E43:E46)</f>
        <v>10.065833333333334</v>
      </c>
      <c r="F47" s="356"/>
      <c r="G47" s="305"/>
      <c r="H47" s="306">
        <f>AVERAGE(H43:H46)</f>
        <v>42.527604072743657</v>
      </c>
      <c r="I47" s="366">
        <f>_xlfn.STDEV.P(H43:H46)</f>
        <v>11.833143979151448</v>
      </c>
      <c r="J47" s="307"/>
      <c r="K47" s="308"/>
      <c r="N47" s="322"/>
      <c r="O47" s="305"/>
    </row>
    <row r="48" spans="1:15" x14ac:dyDescent="0.25">
      <c r="A48" s="309"/>
      <c r="B48" s="418" t="s">
        <v>542</v>
      </c>
      <c r="C48" s="310">
        <v>4.5</v>
      </c>
      <c r="D48" s="317">
        <v>8.01</v>
      </c>
      <c r="E48" s="317">
        <v>10.362</v>
      </c>
      <c r="F48" s="362" t="s">
        <v>811</v>
      </c>
      <c r="G48" s="309">
        <v>120</v>
      </c>
      <c r="H48" s="311">
        <v>65.063185118956127</v>
      </c>
      <c r="I48" s="329"/>
      <c r="J48" s="312">
        <v>5</v>
      </c>
      <c r="K48" s="313">
        <v>0.92449999999999999</v>
      </c>
      <c r="N48" s="323">
        <f>'20a'!S19</f>
        <v>86.387440209660426</v>
      </c>
      <c r="O48" s="317">
        <f>N48/G48</f>
        <v>0.71989533508050352</v>
      </c>
    </row>
    <row r="49" spans="1:15" x14ac:dyDescent="0.25">
      <c r="A49" s="289"/>
      <c r="B49" s="415" t="s">
        <v>548</v>
      </c>
      <c r="C49" s="300">
        <v>4.5666666666666673</v>
      </c>
      <c r="D49" s="290">
        <v>7.98</v>
      </c>
      <c r="E49" s="290">
        <v>10.348333333333334</v>
      </c>
      <c r="F49" s="355" t="s">
        <v>804</v>
      </c>
      <c r="G49" s="318">
        <v>180</v>
      </c>
      <c r="H49" s="291">
        <v>97.458326020513582</v>
      </c>
      <c r="I49" s="328"/>
      <c r="J49" s="292">
        <v>6</v>
      </c>
      <c r="K49" s="293">
        <v>0.84299999999999997</v>
      </c>
      <c r="N49" s="318">
        <f>'20b'!S19</f>
        <v>119.51252641593348</v>
      </c>
      <c r="O49" s="290">
        <f>N49/G49</f>
        <v>0.66395848008851932</v>
      </c>
    </row>
    <row r="50" spans="1:15" x14ac:dyDescent="0.25">
      <c r="A50" s="289"/>
      <c r="B50" s="415" t="s">
        <v>549</v>
      </c>
      <c r="C50" s="300">
        <v>5.0999999999999996</v>
      </c>
      <c r="D50" s="290">
        <v>7.51</v>
      </c>
      <c r="E50" s="290">
        <v>10.094000000000001</v>
      </c>
      <c r="F50" s="355" t="s">
        <v>812</v>
      </c>
      <c r="G50" s="318">
        <v>120</v>
      </c>
      <c r="H50" s="291">
        <v>52.674100013926036</v>
      </c>
      <c r="I50" s="328"/>
      <c r="J50" s="292">
        <v>5</v>
      </c>
      <c r="K50" s="293">
        <v>0.99270000000000003</v>
      </c>
      <c r="N50" s="318">
        <f>'20c'!S19</f>
        <v>72.917425526738313</v>
      </c>
      <c r="O50" s="290">
        <f>N50/G50</f>
        <v>0.60764521272281924</v>
      </c>
    </row>
    <row r="51" spans="1:15" ht="15.75" thickBot="1" x14ac:dyDescent="0.3">
      <c r="A51" s="340" t="s">
        <v>767</v>
      </c>
      <c r="B51" s="417"/>
      <c r="C51" s="346">
        <f t="shared" ref="C51:E51" si="3">AVERAGE(C48:C50)</f>
        <v>4.7222222222222223</v>
      </c>
      <c r="D51" s="341">
        <f t="shared" si="3"/>
        <v>7.833333333333333</v>
      </c>
      <c r="E51" s="341">
        <f t="shared" si="3"/>
        <v>10.268111111111113</v>
      </c>
      <c r="F51" s="357"/>
      <c r="G51" s="341"/>
      <c r="H51" s="342">
        <f>AVERAGE(H48:H50)</f>
        <v>71.731870384465253</v>
      </c>
      <c r="I51" s="365">
        <f>_xlfn.STDEV.P(H48:H50)</f>
        <v>18.881388492906471</v>
      </c>
      <c r="J51" s="343"/>
      <c r="K51" s="344"/>
      <c r="N51" s="345"/>
      <c r="O51" s="341"/>
    </row>
    <row r="52" spans="1:15" x14ac:dyDescent="0.25">
      <c r="A52" s="299" t="s">
        <v>779</v>
      </c>
      <c r="B52" s="415" t="s">
        <v>369</v>
      </c>
      <c r="C52" s="300">
        <v>22.574999999999999</v>
      </c>
      <c r="D52" s="290">
        <v>7.4</v>
      </c>
      <c r="E52" s="290">
        <v>10.574999999999999</v>
      </c>
      <c r="F52" s="355">
        <v>4.4000000000000004</v>
      </c>
      <c r="G52" s="289">
        <v>30</v>
      </c>
      <c r="H52" s="301">
        <v>39.89996058344834</v>
      </c>
      <c r="I52" s="328"/>
      <c r="J52" s="292">
        <v>5</v>
      </c>
      <c r="K52" s="293">
        <v>0.93759999999999999</v>
      </c>
      <c r="N52" s="318">
        <f>'11a'!S19</f>
        <v>30.722969649255223</v>
      </c>
      <c r="O52" s="290">
        <f>N52/G52</f>
        <v>1.0240989883085074</v>
      </c>
    </row>
    <row r="53" spans="1:15" x14ac:dyDescent="0.25">
      <c r="A53" s="315" t="s">
        <v>780</v>
      </c>
      <c r="B53" s="419" t="s">
        <v>371</v>
      </c>
      <c r="C53" s="300">
        <v>23.2</v>
      </c>
      <c r="D53" s="290">
        <v>7.45</v>
      </c>
      <c r="E53" s="290">
        <v>10.762</v>
      </c>
      <c r="F53" s="355">
        <v>4.3</v>
      </c>
      <c r="G53" s="289">
        <v>30</v>
      </c>
      <c r="H53" s="291">
        <v>40.438961624486382</v>
      </c>
      <c r="I53" s="328"/>
      <c r="J53" s="292">
        <v>5</v>
      </c>
      <c r="K53" s="293">
        <v>0.95779999999999998</v>
      </c>
      <c r="N53" s="318">
        <f>'11b'!S19</f>
        <v>30.430318622426</v>
      </c>
      <c r="O53" s="290">
        <f>N53/G53</f>
        <v>1.0143439540808667</v>
      </c>
    </row>
    <row r="54" spans="1:15" x14ac:dyDescent="0.25">
      <c r="A54" s="316"/>
      <c r="B54" s="419" t="s">
        <v>373</v>
      </c>
      <c r="C54" s="300">
        <v>22.650000000000002</v>
      </c>
      <c r="D54" s="290">
        <v>7.4</v>
      </c>
      <c r="E54" s="290">
        <v>10.6775</v>
      </c>
      <c r="F54" s="355" t="s">
        <v>797</v>
      </c>
      <c r="G54" s="289">
        <v>30</v>
      </c>
      <c r="H54" s="291">
        <v>44.822224519550346</v>
      </c>
      <c r="I54" s="328"/>
      <c r="J54" s="292">
        <v>4</v>
      </c>
      <c r="K54" s="293">
        <v>0.88009999999999999</v>
      </c>
      <c r="N54" s="318">
        <f>'11c'!S19</f>
        <v>56.083808430087366</v>
      </c>
      <c r="O54" s="290">
        <f>N54/G54</f>
        <v>1.8694602810029122</v>
      </c>
    </row>
    <row r="55" spans="1:15" x14ac:dyDescent="0.25">
      <c r="A55" s="302" t="s">
        <v>767</v>
      </c>
      <c r="B55" s="415"/>
      <c r="C55" s="304">
        <f t="shared" ref="C55:E55" si="4">AVERAGE(C52:C54)</f>
        <v>22.808333333333334</v>
      </c>
      <c r="D55" s="305">
        <f t="shared" si="4"/>
        <v>7.416666666666667</v>
      </c>
      <c r="E55" s="305">
        <f t="shared" si="4"/>
        <v>10.6715</v>
      </c>
      <c r="F55" s="356"/>
      <c r="G55" s="305"/>
      <c r="H55" s="306">
        <f>AVERAGE(H52:H54)</f>
        <v>41.720382242495027</v>
      </c>
      <c r="I55" s="366">
        <f>_xlfn.STDEV.P(H52:H54)</f>
        <v>2.2043441449942791</v>
      </c>
      <c r="J55" s="307"/>
      <c r="K55" s="308"/>
      <c r="N55" s="322"/>
      <c r="O55" s="305"/>
    </row>
    <row r="56" spans="1:15" x14ac:dyDescent="0.25">
      <c r="A56" s="309"/>
      <c r="B56" s="418" t="s">
        <v>368</v>
      </c>
      <c r="C56" s="310">
        <v>4.58</v>
      </c>
      <c r="D56" s="317">
        <v>7.57</v>
      </c>
      <c r="E56" s="317">
        <v>10.998000000000001</v>
      </c>
      <c r="F56" s="362">
        <v>1.1000000000000001</v>
      </c>
      <c r="G56" s="309">
        <v>30</v>
      </c>
      <c r="H56" s="311">
        <v>161.81188489932552</v>
      </c>
      <c r="I56" s="329"/>
      <c r="J56" s="312">
        <v>5</v>
      </c>
      <c r="K56" s="313">
        <v>0.95509999999999995</v>
      </c>
      <c r="N56" s="323">
        <f>'22a'!S19</f>
        <v>31.148787843120164</v>
      </c>
      <c r="O56" s="317">
        <f>N56/G56</f>
        <v>1.0382929281040054</v>
      </c>
    </row>
    <row r="57" spans="1:15" x14ac:dyDescent="0.25">
      <c r="A57" s="289"/>
      <c r="B57" s="415" t="s">
        <v>370</v>
      </c>
      <c r="C57" s="300">
        <v>4</v>
      </c>
      <c r="D57" s="290">
        <v>7.2</v>
      </c>
      <c r="E57" s="290">
        <v>10.875999999999999</v>
      </c>
      <c r="F57" s="355">
        <v>0.7</v>
      </c>
      <c r="G57" s="289">
        <v>30</v>
      </c>
      <c r="H57" s="291">
        <v>242.85854684600483</v>
      </c>
      <c r="I57" s="328"/>
      <c r="J57" s="292">
        <v>5</v>
      </c>
      <c r="K57" s="293">
        <v>0.96399999999999997</v>
      </c>
      <c r="N57" s="318">
        <f>'22b'!S19</f>
        <v>29.750171988635589</v>
      </c>
      <c r="O57" s="290">
        <f>N57/G57</f>
        <v>0.99167239962118636</v>
      </c>
    </row>
    <row r="58" spans="1:15" x14ac:dyDescent="0.25">
      <c r="A58" s="289"/>
      <c r="B58" s="415" t="s">
        <v>372</v>
      </c>
      <c r="C58" s="300">
        <v>4</v>
      </c>
      <c r="D58" s="290">
        <v>7.1</v>
      </c>
      <c r="E58" s="290">
        <v>10.879999999999999</v>
      </c>
      <c r="F58" s="355">
        <v>0.8</v>
      </c>
      <c r="G58" s="289">
        <v>30</v>
      </c>
      <c r="H58" s="291">
        <v>223.24105269127847</v>
      </c>
      <c r="I58" s="328"/>
      <c r="J58" s="292">
        <v>5</v>
      </c>
      <c r="K58" s="293">
        <v>0.95199999999999996</v>
      </c>
      <c r="N58" s="318">
        <f>'22c'!S19</f>
        <v>31.253747376778982</v>
      </c>
      <c r="O58" s="290">
        <f>N58/G58</f>
        <v>1.041791579225966</v>
      </c>
    </row>
    <row r="59" spans="1:15" ht="15.75" thickBot="1" x14ac:dyDescent="0.3">
      <c r="A59" s="340" t="s">
        <v>767</v>
      </c>
      <c r="B59" s="417"/>
      <c r="C59" s="346">
        <f t="shared" ref="C59:E59" si="5">AVERAGE(C56:C58)</f>
        <v>4.1933333333333334</v>
      </c>
      <c r="D59" s="341">
        <f t="shared" si="5"/>
        <v>7.2899999999999991</v>
      </c>
      <c r="E59" s="341">
        <f t="shared" si="5"/>
        <v>10.918000000000001</v>
      </c>
      <c r="F59" s="357"/>
      <c r="G59" s="341"/>
      <c r="H59" s="342">
        <f>AVERAGE(H56:H58)</f>
        <v>209.30382814553627</v>
      </c>
      <c r="I59" s="365">
        <f>_xlfn.STDEV.P(H56:H58)</f>
        <v>34.523663615976503</v>
      </c>
      <c r="J59" s="343"/>
      <c r="K59" s="344"/>
      <c r="N59" s="345"/>
      <c r="O59" s="341"/>
    </row>
    <row r="60" spans="1:15" x14ac:dyDescent="0.25">
      <c r="A60" s="299" t="s">
        <v>781</v>
      </c>
      <c r="B60" s="415" t="s">
        <v>576</v>
      </c>
      <c r="C60" s="300">
        <v>22.4</v>
      </c>
      <c r="D60" s="290">
        <v>8.9600000000000009</v>
      </c>
      <c r="E60" s="290">
        <v>9.07</v>
      </c>
      <c r="F60" s="355" t="s">
        <v>813</v>
      </c>
      <c r="G60" s="289">
        <v>10</v>
      </c>
      <c r="H60" s="301">
        <v>22.646465874863761</v>
      </c>
      <c r="I60" s="328"/>
      <c r="J60" s="292">
        <v>1</v>
      </c>
      <c r="K60" s="293" t="s">
        <v>509</v>
      </c>
      <c r="N60" s="318">
        <f>'27aR'!S19</f>
        <v>28.122449949059984</v>
      </c>
      <c r="O60" s="290">
        <f>N60/G60</f>
        <v>2.8122449949059982</v>
      </c>
    </row>
    <row r="61" spans="1:15" x14ac:dyDescent="0.25">
      <c r="A61" s="303" t="s">
        <v>785</v>
      </c>
      <c r="B61" s="415" t="s">
        <v>583</v>
      </c>
      <c r="C61" s="300">
        <v>22.1</v>
      </c>
      <c r="D61" s="290">
        <v>9.1300000000000008</v>
      </c>
      <c r="E61" s="290">
        <v>9.1</v>
      </c>
      <c r="F61" s="355" t="s">
        <v>814</v>
      </c>
      <c r="G61" s="289">
        <v>10</v>
      </c>
      <c r="H61" s="291">
        <v>20.132798707613293</v>
      </c>
      <c r="I61" s="328"/>
      <c r="J61" s="292">
        <v>1</v>
      </c>
      <c r="K61" s="293" t="s">
        <v>509</v>
      </c>
      <c r="N61" s="318">
        <f>'27bR'!S19</f>
        <v>25.644626864229682</v>
      </c>
      <c r="O61" s="290">
        <f>N61/G61</f>
        <v>2.564462686422968</v>
      </c>
    </row>
    <row r="62" spans="1:15" x14ac:dyDescent="0.25">
      <c r="A62" s="303" t="s">
        <v>782</v>
      </c>
      <c r="B62" s="415" t="s">
        <v>587</v>
      </c>
      <c r="C62" s="300">
        <v>19.899999999999999</v>
      </c>
      <c r="D62" s="290">
        <v>9.14</v>
      </c>
      <c r="E62" s="290">
        <v>9.14</v>
      </c>
      <c r="F62" s="355" t="s">
        <v>815</v>
      </c>
      <c r="G62" s="289">
        <v>10</v>
      </c>
      <c r="H62" s="291">
        <v>25.926298374797319</v>
      </c>
      <c r="I62" s="328"/>
      <c r="J62" s="292">
        <v>1</v>
      </c>
      <c r="K62" s="293" t="s">
        <v>509</v>
      </c>
      <c r="N62" s="318">
        <f>'27c'!S19</f>
        <v>31.933605025499098</v>
      </c>
      <c r="O62" s="290">
        <f>N62/G62</f>
        <v>3.1933605025499099</v>
      </c>
    </row>
    <row r="63" spans="1:15" x14ac:dyDescent="0.25">
      <c r="A63" s="302" t="s">
        <v>767</v>
      </c>
      <c r="B63" s="415"/>
      <c r="C63" s="304">
        <f t="shared" ref="C63:E63" si="6">AVERAGE(C60:C62)</f>
        <v>21.466666666666669</v>
      </c>
      <c r="D63" s="305">
        <f t="shared" si="6"/>
        <v>9.076666666666668</v>
      </c>
      <c r="E63" s="305">
        <f t="shared" si="6"/>
        <v>9.1033333333333335</v>
      </c>
      <c r="F63" s="356"/>
      <c r="G63" s="305"/>
      <c r="H63" s="306">
        <f>AVERAGE(H60:H62)</f>
        <v>22.901854319091456</v>
      </c>
      <c r="I63" s="366">
        <f>_xlfn.STDEV.P(H60:H62)</f>
        <v>2.3720704095085487</v>
      </c>
      <c r="J63" s="307"/>
      <c r="K63" s="308"/>
      <c r="N63" s="322"/>
      <c r="O63" s="305"/>
    </row>
    <row r="64" spans="1:15" x14ac:dyDescent="0.25">
      <c r="A64" s="309"/>
      <c r="B64" s="418" t="s">
        <v>589</v>
      </c>
      <c r="C64" s="310">
        <v>4.333333333333333</v>
      </c>
      <c r="D64" s="317">
        <v>9.1300000000000008</v>
      </c>
      <c r="E64" s="317">
        <v>9.163333333333334</v>
      </c>
      <c r="F64" s="362" t="s">
        <v>816</v>
      </c>
      <c r="G64" s="309">
        <v>30</v>
      </c>
      <c r="H64" s="311">
        <v>19.166930925441346</v>
      </c>
      <c r="I64" s="329"/>
      <c r="J64" s="312">
        <v>3</v>
      </c>
      <c r="K64" s="313">
        <v>0.89339999999999997</v>
      </c>
      <c r="N64" s="323">
        <f>'28a'!S19</f>
        <v>23.704798624721025</v>
      </c>
      <c r="O64" s="317">
        <f>N64/G64</f>
        <v>0.79015995415736751</v>
      </c>
    </row>
    <row r="65" spans="1:15" x14ac:dyDescent="0.25">
      <c r="A65" s="289"/>
      <c r="B65" s="415" t="s">
        <v>592</v>
      </c>
      <c r="C65" s="300">
        <v>4.6000000000000005</v>
      </c>
      <c r="D65" s="290">
        <v>9.1300000000000008</v>
      </c>
      <c r="E65" s="290">
        <v>9.1266666666666669</v>
      </c>
      <c r="F65" s="355" t="s">
        <v>810</v>
      </c>
      <c r="G65" s="289">
        <v>30</v>
      </c>
      <c r="H65" s="291">
        <v>16.604389789458931</v>
      </c>
      <c r="I65" s="328"/>
      <c r="J65" s="292">
        <v>3</v>
      </c>
      <c r="K65" s="293">
        <v>0.92800000000000005</v>
      </c>
      <c r="N65" s="318">
        <f>'28b'!S19</f>
        <v>20.842897888122717</v>
      </c>
      <c r="O65" s="290">
        <f>N65/G65</f>
        <v>0.69476326293742396</v>
      </c>
    </row>
    <row r="66" spans="1:15" x14ac:dyDescent="0.25">
      <c r="A66" s="289"/>
      <c r="B66" s="415" t="s">
        <v>591</v>
      </c>
      <c r="C66" s="300">
        <v>4.9000000000000004</v>
      </c>
      <c r="D66" s="290">
        <v>9.1999999999999993</v>
      </c>
      <c r="E66" s="290">
        <v>9.0733333333333324</v>
      </c>
      <c r="F66" s="355" t="s">
        <v>817</v>
      </c>
      <c r="G66" s="289">
        <v>30</v>
      </c>
      <c r="H66" s="291">
        <v>17.139859474984846</v>
      </c>
      <c r="I66" s="328"/>
      <c r="J66" s="292">
        <v>3</v>
      </c>
      <c r="K66" s="293">
        <v>0.95630000000000004</v>
      </c>
      <c r="N66" s="318">
        <f>'27c'!S19</f>
        <v>31.933605025499098</v>
      </c>
      <c r="O66" s="290">
        <f>N66/G66</f>
        <v>1.06445350084997</v>
      </c>
    </row>
    <row r="67" spans="1:15" x14ac:dyDescent="0.25">
      <c r="A67" s="295" t="s">
        <v>767</v>
      </c>
      <c r="B67" s="416"/>
      <c r="C67" s="347">
        <f t="shared" ref="C67:E67" si="7">AVERAGE(C64:C66)</f>
        <v>4.6111111111111116</v>
      </c>
      <c r="D67" s="335">
        <f t="shared" si="7"/>
        <v>9.1533333333333342</v>
      </c>
      <c r="E67" s="335">
        <f t="shared" si="7"/>
        <v>9.1211111111111105</v>
      </c>
      <c r="F67" s="358"/>
      <c r="G67" s="335"/>
      <c r="H67" s="336">
        <f>AVERAGE(H64:H66)</f>
        <v>17.637060063295042</v>
      </c>
      <c r="I67" s="364">
        <f>_xlfn.STDEV.P(H64:H66)</f>
        <v>1.1036486721061536</v>
      </c>
      <c r="J67" s="337"/>
      <c r="K67" s="338"/>
      <c r="N67" s="339"/>
      <c r="O67" s="335"/>
    </row>
    <row r="68" spans="1:15" x14ac:dyDescent="0.25">
      <c r="A68" s="330"/>
      <c r="B68" s="330"/>
      <c r="C68" s="331"/>
      <c r="D68" s="330"/>
      <c r="E68" s="332"/>
      <c r="F68" s="332"/>
      <c r="G68" s="332"/>
      <c r="H68" s="331"/>
      <c r="I68" s="332"/>
      <c r="J68" s="333"/>
      <c r="K68" s="334"/>
      <c r="L68" s="359"/>
      <c r="M68" s="330"/>
      <c r="N68" s="301"/>
      <c r="O68" s="332">
        <f>AVERAGE(O3:O66)</f>
        <v>1.0964119063783457</v>
      </c>
    </row>
    <row r="69" spans="1:15" x14ac:dyDescent="0.25">
      <c r="C69" s="229"/>
      <c r="L69" s="360"/>
      <c r="N69" s="155"/>
      <c r="O69" s="108"/>
    </row>
    <row r="70" spans="1:15" x14ac:dyDescent="0.25">
      <c r="C70" s="229"/>
      <c r="L70" s="360"/>
      <c r="N70" s="155"/>
    </row>
    <row r="71" spans="1:15" x14ac:dyDescent="0.25">
      <c r="C71" s="229"/>
      <c r="L71" s="360"/>
    </row>
    <row r="72" spans="1:15" x14ac:dyDescent="0.25">
      <c r="L72" s="360"/>
    </row>
    <row r="73" spans="1:15" x14ac:dyDescent="0.25">
      <c r="L73" s="360"/>
    </row>
    <row r="74" spans="1:15" x14ac:dyDescent="0.25">
      <c r="L74" s="360"/>
    </row>
    <row r="75" spans="1:15" x14ac:dyDescent="0.25">
      <c r="L75" s="360"/>
    </row>
    <row r="76" spans="1:15" x14ac:dyDescent="0.25">
      <c r="L76" s="360"/>
    </row>
    <row r="77" spans="1:15" x14ac:dyDescent="0.25">
      <c r="L77" s="360"/>
    </row>
    <row r="78" spans="1:15" x14ac:dyDescent="0.25">
      <c r="L78" s="360"/>
    </row>
    <row r="79" spans="1:15" x14ac:dyDescent="0.25">
      <c r="L79" s="360"/>
    </row>
    <row r="80" spans="1:15" x14ac:dyDescent="0.25">
      <c r="L80" s="360"/>
    </row>
    <row r="81" spans="12:12" x14ac:dyDescent="0.25">
      <c r="L81" s="360"/>
    </row>
    <row r="82" spans="12:12" x14ac:dyDescent="0.25">
      <c r="L82" s="360"/>
    </row>
  </sheetData>
  <pageMargins left="0.7" right="0.7" top="0.75" bottom="0.75" header="0.3" footer="0.3"/>
  <pageSetup scale="66" orientation="portrait" verticalDpi="597"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FF0000"/>
    <pageSetUpPr fitToPage="1"/>
  </sheetPr>
  <dimension ref="A6:S54"/>
  <sheetViews>
    <sheetView zoomScale="90" zoomScaleNormal="90" workbookViewId="0"/>
  </sheetViews>
  <sheetFormatPr defaultRowHeight="15" x14ac:dyDescent="0.25"/>
  <cols>
    <col min="2" max="2" width="11.28515625" customWidth="1"/>
    <col min="9" max="9" width="10.28515625" bestFit="1" customWidth="1"/>
    <col min="11" max="11" width="8.42578125" bestFit="1" customWidth="1"/>
  </cols>
  <sheetData>
    <row r="6" spans="1:15" x14ac:dyDescent="0.25">
      <c r="A6" s="7" t="s">
        <v>12</v>
      </c>
      <c r="B6" s="28"/>
      <c r="C6" s="28"/>
      <c r="D6" s="28"/>
      <c r="E6" s="28"/>
      <c r="F6" s="28"/>
      <c r="G6" s="28"/>
      <c r="H6" s="28"/>
      <c r="I6" s="215"/>
      <c r="J6" s="28"/>
      <c r="K6" s="28"/>
      <c r="L6" s="28"/>
      <c r="M6" s="28"/>
      <c r="N6" s="28"/>
      <c r="O6" s="28"/>
    </row>
    <row r="7" spans="1:15" x14ac:dyDescent="0.25">
      <c r="A7" s="30" t="s">
        <v>13</v>
      </c>
      <c r="B7" s="30">
        <v>41660</v>
      </c>
    </row>
    <row r="8" spans="1:15" x14ac:dyDescent="0.25">
      <c r="A8" s="28" t="s">
        <v>14</v>
      </c>
      <c r="B8" s="28">
        <v>21</v>
      </c>
      <c r="C8" s="28" t="s">
        <v>615</v>
      </c>
      <c r="D8" s="28"/>
      <c r="E8" s="28"/>
      <c r="F8" s="28"/>
      <c r="G8" s="28"/>
      <c r="H8" s="28"/>
      <c r="I8" s="215"/>
      <c r="J8" s="28"/>
      <c r="K8" s="28" t="s">
        <v>34</v>
      </c>
      <c r="L8" s="28" t="s">
        <v>34</v>
      </c>
      <c r="M8" s="28"/>
      <c r="N8" s="28"/>
      <c r="O8" s="28"/>
    </row>
    <row r="9" spans="1:15" x14ac:dyDescent="0.25">
      <c r="A9" s="28" t="s">
        <v>15</v>
      </c>
      <c r="B9" s="28">
        <v>10</v>
      </c>
      <c r="C9" s="28" t="s">
        <v>240</v>
      </c>
      <c r="D9" s="28"/>
      <c r="E9" s="28"/>
      <c r="F9" s="28"/>
      <c r="G9" s="28"/>
      <c r="H9" s="28"/>
      <c r="I9" s="215"/>
      <c r="J9" s="28"/>
      <c r="K9" s="28"/>
      <c r="L9" s="28"/>
      <c r="M9" s="28"/>
      <c r="N9" s="28"/>
      <c r="O9" s="28"/>
    </row>
    <row r="10" spans="1:15" x14ac:dyDescent="0.25">
      <c r="A10" s="28" t="s">
        <v>16</v>
      </c>
      <c r="B10" s="31">
        <v>2500</v>
      </c>
      <c r="C10" s="28" t="s">
        <v>695</v>
      </c>
      <c r="D10" s="28"/>
      <c r="E10" s="28"/>
      <c r="F10" s="28"/>
      <c r="G10" s="28"/>
      <c r="H10" s="28"/>
      <c r="I10" s="215" t="s">
        <v>34</v>
      </c>
      <c r="J10" s="28" t="s">
        <v>34</v>
      </c>
      <c r="K10" s="28" t="s">
        <v>34</v>
      </c>
      <c r="L10" s="28" t="s">
        <v>34</v>
      </c>
      <c r="M10" s="28" t="s">
        <v>34</v>
      </c>
      <c r="N10" s="28" t="s">
        <v>34</v>
      </c>
      <c r="O10" s="28"/>
    </row>
    <row r="11" spans="1:15" x14ac:dyDescent="0.25">
      <c r="A11" s="28"/>
      <c r="B11" s="238">
        <v>200000000</v>
      </c>
      <c r="C11" s="28" t="s">
        <v>706</v>
      </c>
      <c r="D11" s="28"/>
      <c r="E11" s="28"/>
      <c r="F11" s="28"/>
      <c r="G11" s="28"/>
      <c r="H11" s="28"/>
      <c r="I11" s="215"/>
      <c r="J11" s="28"/>
      <c r="K11" s="28" t="s">
        <v>34</v>
      </c>
      <c r="L11" s="28"/>
      <c r="M11" s="28"/>
      <c r="N11" s="28"/>
      <c r="O11" s="28"/>
    </row>
    <row r="12" spans="1:15" x14ac:dyDescent="0.25">
      <c r="A12" s="28"/>
      <c r="B12" s="31">
        <v>112</v>
      </c>
      <c r="C12" s="28" t="s">
        <v>707</v>
      </c>
      <c r="D12" s="28"/>
      <c r="E12" s="28"/>
      <c r="F12" s="28"/>
      <c r="G12" s="28"/>
      <c r="H12" s="28"/>
      <c r="I12" s="215"/>
      <c r="J12" s="28"/>
      <c r="K12" s="28"/>
      <c r="L12" s="28"/>
      <c r="M12" s="28"/>
      <c r="N12" s="28"/>
      <c r="O12" s="28"/>
    </row>
    <row r="13" spans="1:15" x14ac:dyDescent="0.25">
      <c r="A13" s="28"/>
      <c r="B13" s="31">
        <v>6</v>
      </c>
      <c r="C13" s="28" t="s">
        <v>697</v>
      </c>
      <c r="D13" s="28"/>
      <c r="E13" s="28"/>
      <c r="F13" s="28"/>
      <c r="G13" s="28"/>
      <c r="H13" s="28"/>
      <c r="I13" s="236"/>
      <c r="J13" s="28"/>
      <c r="K13" s="28"/>
      <c r="L13" s="28"/>
      <c r="M13" s="28"/>
      <c r="N13" s="28"/>
      <c r="O13" s="28"/>
    </row>
    <row r="14" spans="1:15" x14ac:dyDescent="0.25">
      <c r="A14" s="28"/>
      <c r="B14" s="31">
        <v>100</v>
      </c>
      <c r="C14" s="87" t="s">
        <v>696</v>
      </c>
      <c r="D14" s="28"/>
      <c r="E14" s="28"/>
      <c r="F14" s="28"/>
      <c r="G14" s="28"/>
      <c r="H14" s="28"/>
      <c r="I14" s="236"/>
      <c r="J14" s="28"/>
      <c r="K14" s="28"/>
      <c r="L14" s="28"/>
      <c r="M14" s="28"/>
      <c r="N14" s="28"/>
      <c r="O14" s="28"/>
    </row>
    <row r="15" spans="1:15" x14ac:dyDescent="0.25">
      <c r="A15" s="28"/>
      <c r="B15" s="31">
        <v>0</v>
      </c>
      <c r="C15" s="87" t="s">
        <v>698</v>
      </c>
      <c r="D15" s="28"/>
      <c r="E15" s="28"/>
      <c r="F15" s="28"/>
      <c r="G15" s="28"/>
      <c r="H15" s="28"/>
      <c r="I15" s="236"/>
      <c r="J15" s="28"/>
      <c r="K15" s="28"/>
      <c r="L15" s="28"/>
      <c r="M15" s="28"/>
      <c r="N15" s="28"/>
      <c r="O15" s="28"/>
    </row>
    <row r="16" spans="1:15" x14ac:dyDescent="0.25">
      <c r="A16" s="28"/>
      <c r="B16" s="232">
        <f>(B12*B13/100*1000)/(B10+B12-B14+B15)*1000</f>
        <v>2675.1592356687897</v>
      </c>
      <c r="C16" s="28" t="s">
        <v>700</v>
      </c>
      <c r="D16" s="28"/>
      <c r="E16" s="28"/>
      <c r="F16" s="28"/>
      <c r="G16" s="28"/>
      <c r="H16" s="28"/>
      <c r="I16" s="236"/>
      <c r="J16" s="28"/>
      <c r="K16" s="28"/>
      <c r="L16" s="28"/>
      <c r="M16" s="28"/>
      <c r="N16" s="28"/>
      <c r="O16" s="28"/>
    </row>
    <row r="17" spans="1:19" ht="15.75" thickBot="1" x14ac:dyDescent="0.3">
      <c r="A17" s="28"/>
      <c r="B17" s="28"/>
      <c r="C17" s="28" t="s">
        <v>705</v>
      </c>
      <c r="D17" s="28"/>
      <c r="E17" s="28"/>
      <c r="F17" s="28"/>
      <c r="G17" s="28"/>
      <c r="H17" s="28"/>
      <c r="I17" s="215"/>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19" ht="15.75" thickBot="1" x14ac:dyDescent="0.3">
      <c r="A19" s="32">
        <v>0</v>
      </c>
      <c r="B19" s="23">
        <v>4.7</v>
      </c>
      <c r="C19" s="23">
        <v>6.76</v>
      </c>
      <c r="D19" s="23">
        <v>6.6</v>
      </c>
      <c r="E19" s="23">
        <v>1</v>
      </c>
      <c r="F19" s="23">
        <v>2</v>
      </c>
      <c r="G19" s="23">
        <v>730</v>
      </c>
      <c r="H19" s="23">
        <v>494</v>
      </c>
      <c r="I19" s="33">
        <v>37000000</v>
      </c>
      <c r="J19" s="50">
        <f>LOG(I$19)-LOG(I19)</f>
        <v>0</v>
      </c>
      <c r="K19" s="33">
        <v>350000000</v>
      </c>
      <c r="L19" s="23" t="s">
        <v>26</v>
      </c>
      <c r="M19" s="34"/>
      <c r="N19" s="34"/>
      <c r="O19" s="35"/>
      <c r="P19" s="233">
        <f>B$16*A19</f>
        <v>0</v>
      </c>
      <c r="Q19" s="233">
        <f>6/LINEST(J19:J23,P19:P23,FALSE)</f>
        <v>95242.556392697879</v>
      </c>
      <c r="R19" s="233">
        <f>Q19/3000</f>
        <v>31.747518797565959</v>
      </c>
      <c r="S19" s="233">
        <f>(J29/LINEST($J19:$J23,$P19:$P23,FALSE))/$B$16</f>
        <v>45.096594558637733</v>
      </c>
    </row>
    <row r="20" spans="1:19" ht="15.75" thickBot="1" x14ac:dyDescent="0.3">
      <c r="A20" s="32">
        <v>5</v>
      </c>
      <c r="B20" s="24">
        <v>3.5</v>
      </c>
      <c r="C20" s="24">
        <v>9.25</v>
      </c>
      <c r="D20" s="24">
        <v>10.71</v>
      </c>
      <c r="E20" s="24">
        <v>2000</v>
      </c>
      <c r="F20" s="24">
        <v>1.6</v>
      </c>
      <c r="G20" s="24">
        <v>236</v>
      </c>
      <c r="H20" s="24">
        <v>491</v>
      </c>
      <c r="I20" s="33">
        <v>27000000</v>
      </c>
      <c r="J20" s="50">
        <f>LOG(I$19)-LOG(I20)</f>
        <v>0.13683795990800807</v>
      </c>
      <c r="K20" s="33">
        <v>19000000</v>
      </c>
      <c r="L20" s="24">
        <v>1.2</v>
      </c>
      <c r="M20" s="35"/>
      <c r="N20" s="35"/>
      <c r="O20" s="35"/>
      <c r="P20" s="233">
        <f>B$16*A20</f>
        <v>13375.79617834395</v>
      </c>
    </row>
    <row r="21" spans="1:19" ht="15.75" thickBot="1" x14ac:dyDescent="0.3">
      <c r="A21" s="32">
        <v>10</v>
      </c>
      <c r="B21" s="24">
        <v>3.5</v>
      </c>
      <c r="C21" s="24">
        <v>9.24</v>
      </c>
      <c r="D21" s="24">
        <v>10.74</v>
      </c>
      <c r="E21" s="24">
        <v>2300</v>
      </c>
      <c r="F21" s="24">
        <v>1.7</v>
      </c>
      <c r="G21" s="24">
        <v>234</v>
      </c>
      <c r="H21" s="24"/>
      <c r="I21" s="33">
        <v>150000</v>
      </c>
      <c r="J21" s="50">
        <f>LOG(I$19)-LOG(I21)</f>
        <v>2.3921104650113136</v>
      </c>
      <c r="K21" s="33">
        <v>0</v>
      </c>
      <c r="L21" s="24" t="s">
        <v>616</v>
      </c>
      <c r="M21" s="35"/>
      <c r="N21" s="35"/>
      <c r="O21" s="35"/>
      <c r="P21" s="233">
        <f>B$16*A21</f>
        <v>26751.592356687899</v>
      </c>
    </row>
    <row r="22" spans="1:19" ht="15.75" thickBot="1" x14ac:dyDescent="0.3">
      <c r="A22" s="32">
        <v>15</v>
      </c>
      <c r="B22" s="24">
        <v>3.4</v>
      </c>
      <c r="C22" s="24">
        <v>9.23</v>
      </c>
      <c r="D22" s="24">
        <v>10.83</v>
      </c>
      <c r="E22" s="24">
        <v>2400</v>
      </c>
      <c r="F22" s="24">
        <v>1.9</v>
      </c>
      <c r="G22" s="24">
        <v>227</v>
      </c>
      <c r="H22" s="24"/>
      <c r="I22" s="33">
        <v>5000</v>
      </c>
      <c r="J22" s="50">
        <f>LOG(I$19)-LOG(I22)</f>
        <v>3.8692317197309762</v>
      </c>
      <c r="K22" s="33">
        <v>0</v>
      </c>
      <c r="L22" s="24" t="s">
        <v>616</v>
      </c>
      <c r="M22" s="35"/>
      <c r="N22" s="35"/>
      <c r="O22" s="35"/>
      <c r="P22" s="233">
        <f>B$16*A22</f>
        <v>40127.388535031845</v>
      </c>
    </row>
    <row r="23" spans="1:19" ht="15.75" thickBot="1" x14ac:dyDescent="0.3">
      <c r="A23" s="32">
        <v>30</v>
      </c>
      <c r="B23" s="24">
        <v>3.6</v>
      </c>
      <c r="C23" s="24">
        <v>9.2200000000000006</v>
      </c>
      <c r="D23" s="24">
        <v>10.9</v>
      </c>
      <c r="E23" s="24">
        <v>2100</v>
      </c>
      <c r="F23" s="24">
        <v>1.6</v>
      </c>
      <c r="G23" s="24">
        <v>221</v>
      </c>
      <c r="H23" s="24"/>
      <c r="I23" s="33">
        <v>2000</v>
      </c>
      <c r="J23" s="50">
        <f>LOG(I$19)-LOG(I23)</f>
        <v>4.2671717284030137</v>
      </c>
      <c r="K23" s="33">
        <v>0</v>
      </c>
      <c r="L23" s="24" t="s">
        <v>616</v>
      </c>
      <c r="M23" s="36"/>
      <c r="N23" s="36"/>
      <c r="O23" s="35"/>
      <c r="P23" s="233">
        <f>B$16*A23</f>
        <v>80254.77707006369</v>
      </c>
    </row>
    <row r="24" spans="1:19" ht="15.75" thickBot="1" x14ac:dyDescent="0.3">
      <c r="A24" s="32">
        <v>60</v>
      </c>
      <c r="B24" s="24">
        <v>3.9</v>
      </c>
      <c r="C24" s="24">
        <v>9.15</v>
      </c>
      <c r="D24" s="24">
        <v>10.92</v>
      </c>
      <c r="E24" s="24">
        <v>2000</v>
      </c>
      <c r="F24" s="58">
        <v>1.5</v>
      </c>
      <c r="G24" s="24">
        <v>192</v>
      </c>
      <c r="H24" s="24"/>
      <c r="I24" s="33">
        <v>0</v>
      </c>
      <c r="J24" s="24" t="s">
        <v>617</v>
      </c>
      <c r="K24" s="33">
        <v>0</v>
      </c>
      <c r="L24" s="24" t="s">
        <v>616</v>
      </c>
      <c r="M24" s="36"/>
      <c r="N24" s="36"/>
      <c r="O24" s="27"/>
      <c r="P24" s="233"/>
    </row>
    <row r="25" spans="1:19" ht="15.75" thickBot="1" x14ac:dyDescent="0.3">
      <c r="A25" s="32">
        <v>120</v>
      </c>
      <c r="B25" s="24">
        <v>4.5</v>
      </c>
      <c r="C25" s="24">
        <v>9.06</v>
      </c>
      <c r="D25" s="24">
        <v>11.18</v>
      </c>
      <c r="E25" s="24">
        <v>2400</v>
      </c>
      <c r="F25" s="58">
        <v>1.8</v>
      </c>
      <c r="G25" s="24">
        <v>196</v>
      </c>
      <c r="H25" s="24"/>
      <c r="I25" s="33">
        <v>0</v>
      </c>
      <c r="J25" s="24" t="s">
        <v>617</v>
      </c>
      <c r="K25" s="33">
        <v>0</v>
      </c>
      <c r="L25" s="24" t="s">
        <v>616</v>
      </c>
      <c r="M25" s="36"/>
      <c r="N25" s="36"/>
      <c r="O25" s="27"/>
      <c r="P25" s="233"/>
    </row>
    <row r="26" spans="1:19" ht="15.75" thickBot="1" x14ac:dyDescent="0.3">
      <c r="A26" s="32">
        <v>180</v>
      </c>
      <c r="B26" s="24">
        <v>4.8</v>
      </c>
      <c r="C26" s="24">
        <v>9.01</v>
      </c>
      <c r="D26" s="24">
        <v>11.54</v>
      </c>
      <c r="E26" s="24">
        <v>2100</v>
      </c>
      <c r="F26" s="58">
        <v>1.3</v>
      </c>
      <c r="G26" s="24">
        <v>208</v>
      </c>
      <c r="H26" s="24"/>
      <c r="I26" s="33">
        <v>0</v>
      </c>
      <c r="J26" s="24" t="s">
        <v>617</v>
      </c>
      <c r="K26" s="33">
        <v>0</v>
      </c>
      <c r="L26" s="24" t="s">
        <v>616</v>
      </c>
      <c r="M26" s="36"/>
      <c r="N26" s="36"/>
      <c r="O26" s="27"/>
      <c r="P26" s="233"/>
    </row>
    <row r="27" spans="1:19" ht="15.75" thickBot="1" x14ac:dyDescent="0.3">
      <c r="A27" s="32">
        <v>240</v>
      </c>
      <c r="B27" s="24">
        <v>4.4000000000000004</v>
      </c>
      <c r="C27" s="24">
        <v>8.99</v>
      </c>
      <c r="D27" s="24">
        <v>12.05</v>
      </c>
      <c r="E27" s="24">
        <v>1800</v>
      </c>
      <c r="F27" s="58">
        <v>1.6</v>
      </c>
      <c r="G27" s="24">
        <v>209</v>
      </c>
      <c r="H27" s="24">
        <v>236</v>
      </c>
      <c r="I27" s="33">
        <v>0</v>
      </c>
      <c r="J27" s="24" t="s">
        <v>617</v>
      </c>
      <c r="K27" s="33">
        <v>0</v>
      </c>
      <c r="L27" s="24" t="s">
        <v>616</v>
      </c>
      <c r="M27" s="36">
        <v>142</v>
      </c>
      <c r="N27" s="36">
        <v>6515</v>
      </c>
      <c r="O27" s="27">
        <v>1400</v>
      </c>
      <c r="P27" s="220"/>
    </row>
    <row r="28" spans="1:19" ht="15.75" thickBot="1" x14ac:dyDescent="0.3">
      <c r="A28" s="86" t="s">
        <v>614</v>
      </c>
      <c r="B28" s="36">
        <v>4.4000000000000004</v>
      </c>
      <c r="C28" s="36">
        <v>8.93</v>
      </c>
      <c r="D28" s="36">
        <v>11.9</v>
      </c>
      <c r="E28" s="36">
        <v>1800</v>
      </c>
      <c r="F28" s="36">
        <v>1.1000000000000001</v>
      </c>
      <c r="G28" s="36">
        <v>207</v>
      </c>
      <c r="H28" s="36">
        <v>454</v>
      </c>
      <c r="I28" s="33">
        <v>0</v>
      </c>
      <c r="J28" s="24" t="s">
        <v>617</v>
      </c>
      <c r="K28" s="33">
        <v>0</v>
      </c>
      <c r="L28" s="24" t="s">
        <v>616</v>
      </c>
      <c r="M28" s="36"/>
      <c r="N28" s="36"/>
      <c r="O28" s="35"/>
    </row>
    <row r="29" spans="1:19" x14ac:dyDescent="0.25">
      <c r="B29">
        <f>AVERAGE(B20:B23)</f>
        <v>3.5</v>
      </c>
      <c r="C29">
        <f>AVERAGE(C20:C23)</f>
        <v>9.2350000000000012</v>
      </c>
      <c r="E29" s="155">
        <f>AVERAGE(E20:E27)</f>
        <v>2137.5</v>
      </c>
      <c r="F29" s="155">
        <f>_xlfn.STDEV.P(E20:E27)</f>
        <v>199.60899278339139</v>
      </c>
      <c r="J29">
        <v>7.6</v>
      </c>
      <c r="N29" s="28"/>
      <c r="O29" s="28"/>
    </row>
    <row r="30" spans="1:19" x14ac:dyDescent="0.25">
      <c r="A30" s="28" t="s">
        <v>140</v>
      </c>
      <c r="B30" s="28"/>
      <c r="C30" s="28"/>
      <c r="D30" s="28"/>
      <c r="E30" s="28"/>
      <c r="F30" s="28"/>
      <c r="G30" s="28"/>
      <c r="H30" s="28"/>
      <c r="I30" s="215"/>
      <c r="J30" s="28"/>
      <c r="K30" s="28"/>
      <c r="L30" s="28"/>
      <c r="M30" s="28"/>
      <c r="N30" s="28"/>
      <c r="O30" s="28"/>
    </row>
    <row r="31" spans="1:19" x14ac:dyDescent="0.25">
      <c r="A31" s="28"/>
      <c r="B31" s="28" t="s">
        <v>141</v>
      </c>
      <c r="C31" s="28"/>
      <c r="D31" s="28"/>
      <c r="E31" s="28"/>
      <c r="F31" s="28"/>
      <c r="G31" s="28"/>
      <c r="H31" s="28"/>
      <c r="I31" s="215"/>
      <c r="J31" s="28"/>
      <c r="K31" s="28"/>
      <c r="L31" s="28"/>
      <c r="M31" s="28"/>
      <c r="N31" s="28" t="s">
        <v>34</v>
      </c>
      <c r="O31" s="28"/>
    </row>
    <row r="32" spans="1:19" x14ac:dyDescent="0.25">
      <c r="A32" s="28" t="s">
        <v>264</v>
      </c>
      <c r="B32" s="28"/>
      <c r="C32" s="28"/>
      <c r="D32" s="28"/>
      <c r="E32" s="28"/>
      <c r="F32" s="28"/>
      <c r="G32" s="28"/>
      <c r="H32" s="28"/>
      <c r="I32" s="215"/>
      <c r="J32" s="28" t="s">
        <v>34</v>
      </c>
      <c r="K32" s="28"/>
      <c r="L32" s="28" t="s">
        <v>34</v>
      </c>
      <c r="M32" s="28"/>
      <c r="N32" s="28"/>
      <c r="O32" s="28"/>
    </row>
    <row r="33" spans="1:15" x14ac:dyDescent="0.25">
      <c r="A33" s="59"/>
      <c r="F33" s="28"/>
      <c r="G33" s="28"/>
      <c r="H33" s="28"/>
      <c r="I33" s="215"/>
      <c r="J33" s="28"/>
      <c r="K33" s="28"/>
      <c r="L33" s="28" t="s">
        <v>34</v>
      </c>
      <c r="M33" s="28" t="s">
        <v>34</v>
      </c>
      <c r="N33" s="28"/>
      <c r="O33" s="28"/>
    </row>
    <row r="34" spans="1:15" x14ac:dyDescent="0.25">
      <c r="A34" s="19" t="s">
        <v>28</v>
      </c>
      <c r="B34" s="28"/>
      <c r="C34" s="28"/>
      <c r="D34" s="28"/>
      <c r="E34" s="28"/>
      <c r="F34" s="28"/>
      <c r="G34" s="28"/>
      <c r="H34" s="28"/>
      <c r="I34" s="215"/>
      <c r="J34" s="28"/>
      <c r="K34" s="28" t="s">
        <v>34</v>
      </c>
      <c r="L34" s="28"/>
      <c r="M34" s="28" t="s">
        <v>34</v>
      </c>
      <c r="N34" s="28"/>
      <c r="O34" s="28"/>
    </row>
    <row r="35" spans="1:15" x14ac:dyDescent="0.25">
      <c r="A35" s="28"/>
      <c r="B35" s="22"/>
      <c r="C35" s="28"/>
      <c r="D35" s="28"/>
      <c r="E35" s="28"/>
      <c r="F35" s="28"/>
      <c r="G35" s="28"/>
      <c r="H35" s="28"/>
      <c r="I35" s="215"/>
      <c r="J35" s="28"/>
      <c r="K35" s="28"/>
      <c r="L35" s="28" t="s">
        <v>34</v>
      </c>
      <c r="M35" s="28" t="s">
        <v>34</v>
      </c>
      <c r="N35" s="28"/>
      <c r="O35" s="28"/>
    </row>
    <row r="36" spans="1:15" x14ac:dyDescent="0.25">
      <c r="A36" s="28"/>
      <c r="B36" s="189" t="s">
        <v>621</v>
      </c>
      <c r="C36" s="189"/>
      <c r="D36" s="189"/>
      <c r="E36" s="189"/>
      <c r="F36" s="189"/>
      <c r="G36" s="189"/>
      <c r="H36" s="189"/>
      <c r="I36" s="189"/>
      <c r="J36" s="189"/>
      <c r="K36" s="189"/>
      <c r="L36" s="189" t="s">
        <v>34</v>
      </c>
      <c r="M36" s="28"/>
      <c r="N36" s="28"/>
      <c r="O36" s="28"/>
    </row>
    <row r="37" spans="1:15" x14ac:dyDescent="0.25">
      <c r="A37" s="28"/>
      <c r="B37" s="189"/>
      <c r="C37" s="189"/>
      <c r="D37" s="189"/>
      <c r="E37" s="189"/>
      <c r="F37" s="189"/>
      <c r="G37" s="189"/>
      <c r="H37" s="189"/>
      <c r="I37" s="189"/>
      <c r="J37" s="189"/>
      <c r="K37" s="189"/>
      <c r="L37" s="189"/>
      <c r="M37" s="28"/>
      <c r="N37" s="28"/>
      <c r="O37" s="28"/>
    </row>
    <row r="38" spans="1:15" x14ac:dyDescent="0.25">
      <c r="A38" s="28"/>
      <c r="B38" s="22" t="s">
        <v>633</v>
      </c>
      <c r="C38" s="28"/>
      <c r="D38" s="28"/>
      <c r="E38" s="28"/>
      <c r="F38" s="28"/>
      <c r="G38" s="28"/>
      <c r="H38" s="28"/>
      <c r="I38" s="215"/>
      <c r="J38" s="28"/>
      <c r="K38" s="28"/>
      <c r="L38" s="28"/>
      <c r="M38" s="28" t="s">
        <v>34</v>
      </c>
      <c r="N38" s="28"/>
      <c r="O38" s="28"/>
    </row>
    <row r="39" spans="1:15" x14ac:dyDescent="0.25">
      <c r="A39" s="28"/>
      <c r="B39" s="22" t="s">
        <v>625</v>
      </c>
      <c r="C39" s="28"/>
      <c r="D39" s="28"/>
      <c r="E39" s="28"/>
      <c r="F39" s="28"/>
      <c r="G39" s="28"/>
      <c r="H39" s="28"/>
      <c r="I39" s="215"/>
      <c r="J39" s="28"/>
      <c r="K39" s="28"/>
      <c r="L39" s="28"/>
      <c r="M39" s="28"/>
      <c r="N39" s="28"/>
      <c r="O39" s="28"/>
    </row>
    <row r="40" spans="1:15" x14ac:dyDescent="0.25">
      <c r="A40" s="28"/>
      <c r="B40" s="189" t="s">
        <v>626</v>
      </c>
      <c r="C40" s="189"/>
      <c r="D40" s="189"/>
      <c r="E40" s="189"/>
      <c r="F40" s="189"/>
      <c r="G40" s="189"/>
      <c r="H40" s="189"/>
      <c r="I40" s="189"/>
      <c r="J40" s="189"/>
      <c r="K40" s="189"/>
      <c r="M40" s="28"/>
      <c r="N40" s="28"/>
      <c r="O40" s="28"/>
    </row>
    <row r="41" spans="1:15" x14ac:dyDescent="0.25">
      <c r="A41" s="28"/>
      <c r="B41" s="189" t="s">
        <v>627</v>
      </c>
      <c r="C41" s="189"/>
      <c r="D41" s="189"/>
      <c r="E41" s="189"/>
      <c r="F41" s="189"/>
      <c r="G41" s="189"/>
      <c r="H41" s="189"/>
      <c r="I41" s="189"/>
      <c r="J41" s="189"/>
      <c r="K41" s="189"/>
      <c r="M41" s="28"/>
      <c r="N41" s="28"/>
      <c r="O41" s="28"/>
    </row>
    <row r="42" spans="1:15" x14ac:dyDescent="0.25">
      <c r="A42" s="28"/>
      <c r="B42" s="69"/>
      <c r="C42" s="87"/>
      <c r="D42" s="87"/>
      <c r="E42" s="87"/>
      <c r="F42" s="87"/>
      <c r="G42" s="87"/>
      <c r="H42" s="87"/>
      <c r="I42" s="88"/>
      <c r="J42" s="87"/>
      <c r="K42" s="87"/>
      <c r="L42" s="28"/>
      <c r="M42" s="28"/>
      <c r="N42" s="28"/>
      <c r="O42" s="28"/>
    </row>
    <row r="43" spans="1:15" x14ac:dyDescent="0.25">
      <c r="A43" s="28"/>
      <c r="B43" s="75"/>
      <c r="C43" s="28"/>
      <c r="D43" s="28"/>
      <c r="E43" s="28"/>
      <c r="F43" s="28"/>
      <c r="G43" s="28"/>
      <c r="H43" s="28"/>
      <c r="I43" s="215"/>
      <c r="J43" s="28"/>
      <c r="K43" s="28"/>
      <c r="N43" s="28"/>
      <c r="O43" s="28"/>
    </row>
    <row r="44" spans="1:15" x14ac:dyDescent="0.25">
      <c r="A44" s="28"/>
      <c r="B44" s="22"/>
      <c r="L44" s="28"/>
      <c r="N44" s="28"/>
      <c r="O44" s="28"/>
    </row>
    <row r="45" spans="1:15" x14ac:dyDescent="0.25">
      <c r="A45" s="28"/>
      <c r="B45" s="22"/>
      <c r="L45" s="28"/>
      <c r="N45" s="28"/>
      <c r="O45" s="28" t="s">
        <v>34</v>
      </c>
    </row>
    <row r="46" spans="1:15" x14ac:dyDescent="0.25">
      <c r="A46" s="28"/>
      <c r="B46" s="22"/>
      <c r="L46" s="28"/>
      <c r="M46" s="28"/>
      <c r="N46" s="28"/>
      <c r="O46" s="28"/>
    </row>
    <row r="47" spans="1:15" x14ac:dyDescent="0.25">
      <c r="B47" s="189"/>
      <c r="C47" s="64"/>
      <c r="D47" s="64"/>
      <c r="E47" s="64"/>
      <c r="F47" s="64"/>
      <c r="G47" s="64"/>
      <c r="H47" s="64"/>
      <c r="I47" s="64"/>
      <c r="J47" s="64"/>
      <c r="K47" s="64"/>
      <c r="L47" s="65"/>
      <c r="M47" s="28"/>
      <c r="N47" s="28"/>
      <c r="O47" s="28"/>
    </row>
    <row r="48" spans="1:15" x14ac:dyDescent="0.25">
      <c r="B48" s="189"/>
    </row>
    <row r="49" spans="2:15" x14ac:dyDescent="0.25">
      <c r="B49" s="22"/>
      <c r="C49" s="28"/>
      <c r="D49" s="28"/>
      <c r="E49" s="28"/>
      <c r="F49" s="28"/>
      <c r="G49" s="28"/>
      <c r="H49" s="28"/>
      <c r="I49" s="215"/>
      <c r="J49" s="28"/>
    </row>
    <row r="50" spans="2:15" x14ac:dyDescent="0.25">
      <c r="B50" s="189"/>
      <c r="C50" s="64"/>
      <c r="D50" s="64"/>
      <c r="E50" s="64"/>
      <c r="F50" s="64"/>
      <c r="G50" s="64"/>
      <c r="H50" s="64"/>
      <c r="I50" s="64"/>
      <c r="J50" s="64"/>
      <c r="K50" s="64"/>
      <c r="L50" s="65"/>
      <c r="O50" t="s">
        <v>34</v>
      </c>
    </row>
    <row r="51" spans="2:15" x14ac:dyDescent="0.25">
      <c r="B51" s="189"/>
      <c r="C51" s="189"/>
      <c r="D51" s="189"/>
      <c r="E51" s="189"/>
      <c r="F51" s="189"/>
      <c r="G51" s="189"/>
      <c r="H51" s="189"/>
      <c r="I51" s="189"/>
      <c r="J51" s="189"/>
      <c r="K51" s="189"/>
      <c r="N51" t="s">
        <v>34</v>
      </c>
    </row>
    <row r="52" spans="2:15" x14ac:dyDescent="0.25">
      <c r="B52" s="189"/>
      <c r="C52" s="189"/>
      <c r="D52" s="189"/>
      <c r="E52" s="189"/>
      <c r="F52" s="189"/>
      <c r="G52" s="189"/>
      <c r="H52" s="189"/>
      <c r="I52" s="189"/>
      <c r="J52" s="189"/>
      <c r="K52" s="189"/>
    </row>
    <row r="53" spans="2:15" x14ac:dyDescent="0.25">
      <c r="B53" s="22"/>
      <c r="C53" s="28"/>
      <c r="D53" s="28"/>
      <c r="E53" s="28"/>
      <c r="F53" s="28"/>
      <c r="G53" s="28"/>
      <c r="H53" s="215"/>
      <c r="I53" s="28"/>
      <c r="J53" s="189"/>
      <c r="K53" s="28"/>
    </row>
    <row r="54" spans="2:15" x14ac:dyDescent="0.25">
      <c r="N54" t="s">
        <v>34</v>
      </c>
    </row>
  </sheetData>
  <pageMargins left="0.7" right="0.7" top="0.75" bottom="0.75" header="0.3" footer="0.3"/>
  <pageSetup scale="59" orientation="landscape" verticalDpi="597"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rgb="FFFF0000"/>
    <pageSetUpPr fitToPage="1"/>
  </sheetPr>
  <dimension ref="A7:S54"/>
  <sheetViews>
    <sheetView zoomScale="90" zoomScaleNormal="90" workbookViewId="0"/>
  </sheetViews>
  <sheetFormatPr defaultRowHeight="15" x14ac:dyDescent="0.25"/>
  <cols>
    <col min="2" max="2" width="11.7109375" customWidth="1"/>
    <col min="9" max="9" width="10.28515625" bestFit="1" customWidth="1"/>
    <col min="11" max="11" width="8.42578125" bestFit="1" customWidth="1"/>
  </cols>
  <sheetData>
    <row r="7" spans="1:15" x14ac:dyDescent="0.25">
      <c r="A7" s="7" t="s">
        <v>12</v>
      </c>
      <c r="B7" s="28"/>
      <c r="C7" s="28"/>
      <c r="D7" s="28"/>
      <c r="E7" s="28"/>
      <c r="F7" s="28"/>
      <c r="G7" s="28"/>
      <c r="H7" s="28"/>
      <c r="I7" s="215"/>
      <c r="J7" s="28"/>
      <c r="K7" s="28"/>
      <c r="L7" s="28"/>
      <c r="M7" s="28"/>
      <c r="N7" s="28"/>
      <c r="O7" s="28"/>
    </row>
    <row r="8" spans="1:15" x14ac:dyDescent="0.25">
      <c r="A8" s="30" t="s">
        <v>13</v>
      </c>
      <c r="B8" s="30">
        <v>41662</v>
      </c>
    </row>
    <row r="9" spans="1:15" x14ac:dyDescent="0.25">
      <c r="A9" s="28" t="s">
        <v>14</v>
      </c>
      <c r="B9" s="28">
        <v>21</v>
      </c>
      <c r="C9" s="28" t="s">
        <v>618</v>
      </c>
      <c r="D9" s="28"/>
      <c r="E9" s="28"/>
      <c r="F9" s="28"/>
      <c r="G9" s="28"/>
      <c r="H9" s="28"/>
      <c r="I9" s="215"/>
      <c r="J9" s="28"/>
      <c r="K9" s="28" t="s">
        <v>34</v>
      </c>
      <c r="L9" s="28" t="s">
        <v>34</v>
      </c>
      <c r="M9" s="28"/>
      <c r="N9" s="28"/>
      <c r="O9" s="28"/>
    </row>
    <row r="10" spans="1:15" x14ac:dyDescent="0.25">
      <c r="A10" s="28" t="s">
        <v>15</v>
      </c>
      <c r="B10" s="28">
        <v>10</v>
      </c>
      <c r="C10" s="28" t="s">
        <v>240</v>
      </c>
      <c r="D10" s="28"/>
      <c r="E10" s="28"/>
      <c r="F10" s="28"/>
      <c r="G10" s="28"/>
      <c r="H10" s="28"/>
      <c r="I10" s="215"/>
      <c r="J10" s="28"/>
      <c r="K10" s="28"/>
      <c r="L10" s="28"/>
      <c r="M10" s="28"/>
      <c r="N10" s="28"/>
      <c r="O10" s="28"/>
    </row>
    <row r="11" spans="1:15" x14ac:dyDescent="0.25">
      <c r="A11" s="28" t="s">
        <v>16</v>
      </c>
      <c r="B11" s="31">
        <v>2500</v>
      </c>
      <c r="C11" s="28" t="s">
        <v>695</v>
      </c>
      <c r="D11" s="28"/>
      <c r="E11" s="28"/>
      <c r="F11" s="28"/>
      <c r="G11" s="28"/>
      <c r="H11" s="28"/>
      <c r="I11" s="215" t="s">
        <v>34</v>
      </c>
      <c r="J11" s="28" t="s">
        <v>34</v>
      </c>
      <c r="K11" s="28" t="s">
        <v>34</v>
      </c>
      <c r="L11" s="28" t="s">
        <v>34</v>
      </c>
      <c r="M11" s="28" t="s">
        <v>34</v>
      </c>
      <c r="N11" s="28" t="s">
        <v>34</v>
      </c>
      <c r="O11" s="28"/>
    </row>
    <row r="12" spans="1:15" x14ac:dyDescent="0.25">
      <c r="A12" s="28"/>
      <c r="B12" s="238">
        <v>200000000</v>
      </c>
      <c r="C12" s="28" t="s">
        <v>706</v>
      </c>
      <c r="D12" s="28"/>
      <c r="E12" s="28"/>
      <c r="F12" s="28"/>
      <c r="G12" s="28"/>
      <c r="H12" s="28"/>
      <c r="I12" s="215"/>
      <c r="J12" s="28"/>
      <c r="K12" s="28" t="s">
        <v>34</v>
      </c>
      <c r="L12" s="28"/>
      <c r="M12" s="28"/>
      <c r="N12" s="28"/>
      <c r="O12" s="28"/>
    </row>
    <row r="13" spans="1:15" x14ac:dyDescent="0.25">
      <c r="A13" s="28"/>
      <c r="B13" s="31">
        <v>112</v>
      </c>
      <c r="C13" s="28" t="s">
        <v>707</v>
      </c>
      <c r="D13" s="28"/>
      <c r="E13" s="28"/>
      <c r="F13" s="28"/>
      <c r="G13" s="28"/>
      <c r="H13" s="28"/>
      <c r="I13" s="215"/>
      <c r="J13" s="28"/>
      <c r="K13" s="28"/>
      <c r="L13" s="28"/>
      <c r="M13" s="28"/>
      <c r="N13" s="28"/>
      <c r="O13" s="28"/>
    </row>
    <row r="14" spans="1:15" x14ac:dyDescent="0.25">
      <c r="A14" s="28"/>
      <c r="B14" s="31">
        <v>6</v>
      </c>
      <c r="C14" s="28" t="s">
        <v>697</v>
      </c>
      <c r="D14" s="28"/>
      <c r="E14" s="28"/>
      <c r="F14" s="28"/>
      <c r="G14" s="28"/>
      <c r="H14" s="28"/>
      <c r="I14" s="236"/>
      <c r="J14" s="28"/>
      <c r="K14" s="28"/>
      <c r="L14" s="28"/>
      <c r="M14" s="28"/>
      <c r="N14" s="28"/>
      <c r="O14" s="28"/>
    </row>
    <row r="15" spans="1:15" x14ac:dyDescent="0.25">
      <c r="A15" s="28"/>
      <c r="B15" s="31">
        <v>100</v>
      </c>
      <c r="C15" s="87" t="s">
        <v>696</v>
      </c>
      <c r="D15" s="28"/>
      <c r="E15" s="28"/>
      <c r="F15" s="28"/>
      <c r="G15" s="28"/>
      <c r="H15" s="28"/>
      <c r="I15" s="236"/>
      <c r="J15" s="28"/>
      <c r="K15" s="28"/>
      <c r="L15" s="28"/>
      <c r="M15" s="28"/>
      <c r="N15" s="28"/>
      <c r="O15" s="28"/>
    </row>
    <row r="16" spans="1:15" x14ac:dyDescent="0.25">
      <c r="A16" s="28"/>
      <c r="B16" s="31">
        <v>0</v>
      </c>
      <c r="C16" s="87" t="s">
        <v>698</v>
      </c>
      <c r="D16" s="28"/>
      <c r="E16" s="28"/>
      <c r="F16" s="28"/>
      <c r="G16" s="28"/>
      <c r="H16" s="28"/>
      <c r="I16" s="236"/>
      <c r="J16" s="28"/>
      <c r="K16" s="28"/>
      <c r="L16" s="28"/>
      <c r="M16" s="28"/>
      <c r="N16" s="28"/>
      <c r="O16" s="28"/>
    </row>
    <row r="17" spans="1:19" x14ac:dyDescent="0.25">
      <c r="A17" s="28"/>
      <c r="B17" s="232">
        <f>(B13*B14/100*1000)/(B11+B13-B15+B16)*1000</f>
        <v>2675.1592356687897</v>
      </c>
      <c r="C17" s="28" t="s">
        <v>700</v>
      </c>
      <c r="D17" s="28"/>
      <c r="E17" s="28"/>
      <c r="F17" s="28"/>
      <c r="G17" s="28"/>
      <c r="H17" s="28"/>
      <c r="I17" s="236"/>
      <c r="J17" s="28"/>
      <c r="K17" s="28"/>
      <c r="L17" s="28"/>
      <c r="M17" s="28"/>
      <c r="N17" s="28"/>
      <c r="O17" s="28"/>
    </row>
    <row r="18" spans="1:19" ht="15.75" thickBot="1" x14ac:dyDescent="0.3">
      <c r="A18" s="28"/>
      <c r="B18" s="28"/>
      <c r="C18" s="28" t="s">
        <v>705</v>
      </c>
      <c r="D18" s="28"/>
      <c r="E18" s="28"/>
      <c r="F18" s="28"/>
      <c r="G18" s="28"/>
      <c r="H18" s="28"/>
      <c r="I18" s="215"/>
      <c r="J18" s="28"/>
      <c r="K18" s="28"/>
      <c r="L18" s="28"/>
      <c r="M18" s="28"/>
      <c r="N18" s="28"/>
      <c r="O18" s="28"/>
    </row>
    <row r="19" spans="1:19" ht="90" thickBot="1" x14ac:dyDescent="0.3">
      <c r="A19" s="10" t="s">
        <v>29</v>
      </c>
      <c r="B19" s="11" t="s">
        <v>17</v>
      </c>
      <c r="C19" s="11" t="s">
        <v>30</v>
      </c>
      <c r="D19" s="11" t="s">
        <v>31</v>
      </c>
      <c r="E19" s="11" t="s">
        <v>32</v>
      </c>
      <c r="F19" s="11" t="s">
        <v>33</v>
      </c>
      <c r="G19" s="11" t="s">
        <v>202</v>
      </c>
      <c r="H19" s="11" t="s">
        <v>19</v>
      </c>
      <c r="I19" s="12" t="s">
        <v>610</v>
      </c>
      <c r="J19" s="11" t="s">
        <v>21</v>
      </c>
      <c r="K19" s="13" t="s">
        <v>611</v>
      </c>
      <c r="L19" s="11" t="s">
        <v>21</v>
      </c>
      <c r="M19" s="14" t="s">
        <v>23</v>
      </c>
      <c r="N19" s="14" t="s">
        <v>24</v>
      </c>
      <c r="O19" s="14" t="s">
        <v>25</v>
      </c>
      <c r="P19" s="14" t="s">
        <v>678</v>
      </c>
      <c r="Q19" s="14" t="s">
        <v>681</v>
      </c>
      <c r="R19" s="14" t="s">
        <v>897</v>
      </c>
      <c r="S19" s="14" t="s">
        <v>729</v>
      </c>
    </row>
    <row r="20" spans="1:19" ht="15.75" thickBot="1" x14ac:dyDescent="0.3">
      <c r="A20" s="32">
        <v>0</v>
      </c>
      <c r="B20" s="23">
        <v>4.7</v>
      </c>
      <c r="C20" s="23">
        <v>6.67</v>
      </c>
      <c r="D20" s="23">
        <v>6.58</v>
      </c>
      <c r="E20" s="23">
        <v>5.6</v>
      </c>
      <c r="F20" s="23">
        <v>4.9000000000000004</v>
      </c>
      <c r="G20" s="23">
        <v>750</v>
      </c>
      <c r="H20" s="23">
        <v>447</v>
      </c>
      <c r="I20" s="33">
        <v>21000000</v>
      </c>
      <c r="J20" s="50">
        <f>LOG(I$20)-LOG(I20)</f>
        <v>0</v>
      </c>
      <c r="K20" s="33">
        <v>440000000</v>
      </c>
      <c r="L20" s="23" t="s">
        <v>26</v>
      </c>
      <c r="M20" s="34"/>
      <c r="N20" s="34"/>
      <c r="O20" s="35"/>
      <c r="P20" s="233">
        <f>B$17*A20</f>
        <v>0</v>
      </c>
      <c r="Q20" s="233">
        <f>6/LINEST(J20:J22,P20:P22,FALSE)</f>
        <v>67274.691263524001</v>
      </c>
      <c r="R20" s="233">
        <f>Q20/3000</f>
        <v>22.424897087841334</v>
      </c>
      <c r="S20" s="233">
        <f>(J30/LINEST($J20:$J22,$P20:$P22,FALSE))/$B$17</f>
        <v>30.596636371874943</v>
      </c>
    </row>
    <row r="21" spans="1:19" ht="15.75" thickBot="1" x14ac:dyDescent="0.3">
      <c r="A21" s="32">
        <v>5</v>
      </c>
      <c r="B21" s="24">
        <v>4.7</v>
      </c>
      <c r="C21" s="24">
        <v>9.24</v>
      </c>
      <c r="D21" s="24">
        <v>10.57</v>
      </c>
      <c r="E21" s="24">
        <v>2500</v>
      </c>
      <c r="F21" s="24">
        <v>2.1</v>
      </c>
      <c r="G21" s="24">
        <v>229</v>
      </c>
      <c r="H21" s="24">
        <v>443</v>
      </c>
      <c r="I21" s="33">
        <v>8200000</v>
      </c>
      <c r="J21" s="50">
        <f>LOG(I$20)-LOG(I21)</f>
        <v>0.40840544235020282</v>
      </c>
      <c r="K21" s="33">
        <v>6000000</v>
      </c>
      <c r="L21" s="24">
        <v>1.8</v>
      </c>
      <c r="M21" s="35"/>
      <c r="N21" s="35"/>
      <c r="O21" s="35"/>
      <c r="P21" s="233">
        <f>B$17*A21</f>
        <v>13375.79617834395</v>
      </c>
    </row>
    <row r="22" spans="1:19" ht="15.75" thickBot="1" x14ac:dyDescent="0.3">
      <c r="A22" s="32">
        <v>10</v>
      </c>
      <c r="B22" s="24">
        <v>4.5</v>
      </c>
      <c r="C22" s="24">
        <v>9.23</v>
      </c>
      <c r="D22" s="24">
        <v>10.68</v>
      </c>
      <c r="E22" s="24">
        <v>2300</v>
      </c>
      <c r="F22" s="24">
        <v>2</v>
      </c>
      <c r="G22" s="24">
        <v>216</v>
      </c>
      <c r="H22" s="24"/>
      <c r="I22" s="33">
        <v>35000</v>
      </c>
      <c r="J22" s="50">
        <f>LOG(I$20)-LOG(I22)</f>
        <v>2.7781512503836439</v>
      </c>
      <c r="K22" s="33">
        <v>0</v>
      </c>
      <c r="L22" s="24" t="s">
        <v>619</v>
      </c>
      <c r="M22" s="35"/>
      <c r="N22" s="35"/>
      <c r="O22" s="35"/>
      <c r="P22" s="233">
        <f>B$17*A22</f>
        <v>26751.592356687899</v>
      </c>
    </row>
    <row r="23" spans="1:19" ht="15.75" thickBot="1" x14ac:dyDescent="0.3">
      <c r="A23" s="32">
        <v>15</v>
      </c>
      <c r="B23" s="24">
        <v>4.4000000000000004</v>
      </c>
      <c r="C23" s="24">
        <v>9.2100000000000009</v>
      </c>
      <c r="D23" s="24">
        <v>10.79</v>
      </c>
      <c r="E23" s="24">
        <v>2200</v>
      </c>
      <c r="F23" s="24">
        <v>1.8</v>
      </c>
      <c r="G23" s="24">
        <v>221</v>
      </c>
      <c r="H23" s="24"/>
      <c r="I23" s="33">
        <v>0</v>
      </c>
      <c r="J23" s="24" t="s">
        <v>613</v>
      </c>
      <c r="K23" s="33">
        <v>0</v>
      </c>
      <c r="L23" s="24" t="s">
        <v>619</v>
      </c>
      <c r="M23" s="35"/>
      <c r="N23" s="35"/>
      <c r="O23" s="35"/>
      <c r="P23" s="233"/>
    </row>
    <row r="24" spans="1:19" ht="15.75" thickBot="1" x14ac:dyDescent="0.3">
      <c r="A24" s="32">
        <v>30</v>
      </c>
      <c r="B24" s="24">
        <v>4.2</v>
      </c>
      <c r="C24" s="24">
        <v>9.19</v>
      </c>
      <c r="D24" s="24">
        <v>10.68</v>
      </c>
      <c r="E24" s="24">
        <v>2400</v>
      </c>
      <c r="F24" s="24">
        <v>1.6</v>
      </c>
      <c r="G24" s="24">
        <v>212</v>
      </c>
      <c r="H24" s="24"/>
      <c r="I24" s="33">
        <v>0</v>
      </c>
      <c r="J24" s="24" t="s">
        <v>613</v>
      </c>
      <c r="K24" s="33">
        <v>0</v>
      </c>
      <c r="L24" s="24" t="s">
        <v>619</v>
      </c>
      <c r="M24" s="36"/>
      <c r="N24" s="36"/>
      <c r="O24" s="35"/>
      <c r="P24" s="233"/>
    </row>
    <row r="25" spans="1:19" ht="15.75" thickBot="1" x14ac:dyDescent="0.3">
      <c r="A25" s="32">
        <v>60</v>
      </c>
      <c r="B25" s="24">
        <v>3.8</v>
      </c>
      <c r="C25" s="24">
        <v>9.14</v>
      </c>
      <c r="D25" s="24">
        <v>10.71</v>
      </c>
      <c r="E25" s="24">
        <v>1900</v>
      </c>
      <c r="F25" s="58">
        <v>1.5</v>
      </c>
      <c r="G25" s="24">
        <v>207</v>
      </c>
      <c r="H25" s="24"/>
      <c r="I25" s="33">
        <v>0</v>
      </c>
      <c r="J25" s="24" t="s">
        <v>613</v>
      </c>
      <c r="K25" s="33">
        <v>0</v>
      </c>
      <c r="L25" s="24" t="s">
        <v>619</v>
      </c>
      <c r="M25" s="36"/>
      <c r="N25" s="36"/>
      <c r="O25" s="27"/>
      <c r="P25" s="233"/>
    </row>
    <row r="26" spans="1:19" ht="15.75" thickBot="1" x14ac:dyDescent="0.3">
      <c r="A26" s="32">
        <v>120</v>
      </c>
      <c r="B26" s="24">
        <v>3.7</v>
      </c>
      <c r="C26" s="24">
        <v>9.07</v>
      </c>
      <c r="D26" s="24">
        <v>10.94</v>
      </c>
      <c r="E26" s="24">
        <v>1700</v>
      </c>
      <c r="F26" s="58">
        <v>1.9</v>
      </c>
      <c r="G26" s="24">
        <v>219</v>
      </c>
      <c r="H26" s="24"/>
      <c r="I26" s="33">
        <v>0</v>
      </c>
      <c r="J26" s="24" t="s">
        <v>613</v>
      </c>
      <c r="K26" s="33">
        <v>0</v>
      </c>
      <c r="L26" s="24" t="s">
        <v>619</v>
      </c>
      <c r="M26" s="36"/>
      <c r="N26" s="36"/>
      <c r="O26" s="27"/>
      <c r="P26" s="233"/>
    </row>
    <row r="27" spans="1:19" ht="15.75" thickBot="1" x14ac:dyDescent="0.3">
      <c r="A27" s="32">
        <v>180</v>
      </c>
      <c r="B27" s="24">
        <v>3.9</v>
      </c>
      <c r="C27" s="24">
        <v>9.1</v>
      </c>
      <c r="D27" s="24">
        <v>11.18</v>
      </c>
      <c r="E27" s="24">
        <v>2000</v>
      </c>
      <c r="F27" s="58">
        <v>1.8</v>
      </c>
      <c r="G27" s="24">
        <v>196</v>
      </c>
      <c r="H27" s="24"/>
      <c r="I27" s="33">
        <v>0</v>
      </c>
      <c r="J27" s="24" t="s">
        <v>613</v>
      </c>
      <c r="K27" s="33">
        <v>0</v>
      </c>
      <c r="L27" s="24" t="s">
        <v>619</v>
      </c>
      <c r="M27" s="36"/>
      <c r="N27" s="36"/>
      <c r="O27" s="27"/>
      <c r="P27" s="233"/>
    </row>
    <row r="28" spans="1:19" ht="15.75" thickBot="1" x14ac:dyDescent="0.3">
      <c r="A28" s="32">
        <v>240</v>
      </c>
      <c r="B28" s="24">
        <v>4</v>
      </c>
      <c r="C28" s="24">
        <v>9.0399999999999991</v>
      </c>
      <c r="D28" s="24">
        <v>11.89</v>
      </c>
      <c r="E28" s="24">
        <v>1900</v>
      </c>
      <c r="F28" s="58">
        <v>1.4</v>
      </c>
      <c r="G28" s="24">
        <v>227</v>
      </c>
      <c r="H28" s="24">
        <v>475</v>
      </c>
      <c r="I28" s="33">
        <v>0</v>
      </c>
      <c r="J28" s="24" t="s">
        <v>613</v>
      </c>
      <c r="K28" s="33">
        <v>0</v>
      </c>
      <c r="L28" s="24" t="s">
        <v>619</v>
      </c>
      <c r="M28" s="36">
        <v>162</v>
      </c>
      <c r="N28" s="36">
        <v>6531</v>
      </c>
      <c r="O28" s="27">
        <v>1467</v>
      </c>
      <c r="P28" s="220"/>
    </row>
    <row r="29" spans="1:19" ht="15.75" thickBot="1" x14ac:dyDescent="0.3">
      <c r="A29" s="86" t="s">
        <v>614</v>
      </c>
      <c r="B29" s="36">
        <v>4</v>
      </c>
      <c r="C29" s="36">
        <v>9</v>
      </c>
      <c r="D29" s="36">
        <v>11.99</v>
      </c>
      <c r="E29" s="36">
        <v>1900</v>
      </c>
      <c r="F29" s="36">
        <v>1.5</v>
      </c>
      <c r="G29" s="36">
        <v>234</v>
      </c>
      <c r="H29" s="36">
        <v>415</v>
      </c>
      <c r="I29" s="33">
        <v>0</v>
      </c>
      <c r="J29" s="24" t="s">
        <v>613</v>
      </c>
      <c r="K29" s="33">
        <v>0</v>
      </c>
      <c r="L29" s="24" t="s">
        <v>619</v>
      </c>
      <c r="M29" s="36"/>
      <c r="N29" s="36"/>
      <c r="O29" s="35"/>
    </row>
    <row r="30" spans="1:19" x14ac:dyDescent="0.25">
      <c r="B30">
        <f>AVERAGE(B21:B22)</f>
        <v>4.5999999999999996</v>
      </c>
      <c r="C30">
        <f>AVERAGE(C21:C22)</f>
        <v>9.2349999999999994</v>
      </c>
      <c r="E30" s="155">
        <f>AVERAGE(E21:E28)</f>
        <v>2112.5</v>
      </c>
      <c r="F30" s="155">
        <f>_xlfn.STDEV.P(E21:E28)</f>
        <v>261.90408549696201</v>
      </c>
      <c r="J30">
        <v>7.3</v>
      </c>
      <c r="N30" s="28"/>
      <c r="O30" s="28"/>
    </row>
    <row r="31" spans="1:19" x14ac:dyDescent="0.25">
      <c r="A31" s="28" t="s">
        <v>140</v>
      </c>
      <c r="B31" s="28"/>
      <c r="C31" s="28"/>
      <c r="D31" s="28"/>
      <c r="E31" s="28"/>
      <c r="F31" s="28"/>
      <c r="G31" s="28"/>
      <c r="H31" s="28"/>
      <c r="I31" s="215"/>
      <c r="J31" s="28"/>
      <c r="K31" s="28"/>
      <c r="L31" s="28"/>
      <c r="M31" s="28"/>
      <c r="N31" s="28"/>
      <c r="O31" s="28"/>
    </row>
    <row r="32" spans="1:19" x14ac:dyDescent="0.25">
      <c r="A32" s="28"/>
      <c r="B32" s="28" t="s">
        <v>141</v>
      </c>
      <c r="C32" s="28"/>
      <c r="D32" s="28"/>
      <c r="E32" s="28"/>
      <c r="F32" s="28"/>
      <c r="G32" s="28"/>
      <c r="H32" s="28"/>
      <c r="I32" s="215"/>
      <c r="J32" s="28"/>
      <c r="K32" s="28"/>
      <c r="L32" s="28"/>
      <c r="M32" s="28"/>
      <c r="N32" s="28" t="s">
        <v>34</v>
      </c>
      <c r="O32" s="28"/>
    </row>
    <row r="33" spans="1:15" x14ac:dyDescent="0.25">
      <c r="A33" s="28" t="s">
        <v>264</v>
      </c>
      <c r="B33" s="28"/>
      <c r="C33" s="28"/>
      <c r="D33" s="28"/>
      <c r="E33" s="28"/>
      <c r="F33" s="28"/>
      <c r="G33" s="28"/>
      <c r="H33" s="28"/>
      <c r="I33" s="215"/>
      <c r="J33" s="28" t="s">
        <v>34</v>
      </c>
      <c r="K33" s="28"/>
      <c r="L33" s="28" t="s">
        <v>34</v>
      </c>
      <c r="M33" s="28"/>
      <c r="N33" s="28"/>
      <c r="O33" s="28"/>
    </row>
    <row r="34" spans="1:15" x14ac:dyDescent="0.25">
      <c r="A34" s="59"/>
      <c r="F34" s="28"/>
      <c r="G34" s="28"/>
      <c r="H34" s="28"/>
      <c r="I34" s="215"/>
      <c r="J34" s="28"/>
      <c r="K34" s="28"/>
      <c r="L34" s="28" t="s">
        <v>34</v>
      </c>
      <c r="M34" s="28" t="s">
        <v>34</v>
      </c>
      <c r="N34" s="28"/>
      <c r="O34" s="28"/>
    </row>
    <row r="35" spans="1:15" x14ac:dyDescent="0.25">
      <c r="A35" s="19" t="s">
        <v>28</v>
      </c>
      <c r="B35" s="28"/>
      <c r="C35" s="28"/>
      <c r="D35" s="28"/>
      <c r="E35" s="28"/>
      <c r="F35" s="28"/>
      <c r="G35" s="28"/>
      <c r="H35" s="28"/>
      <c r="I35" s="215"/>
      <c r="J35" s="28"/>
      <c r="K35" s="28" t="s">
        <v>34</v>
      </c>
      <c r="L35" s="28"/>
      <c r="M35" s="28" t="s">
        <v>34</v>
      </c>
      <c r="N35" s="28"/>
      <c r="O35" s="28"/>
    </row>
    <row r="36" spans="1:15" x14ac:dyDescent="0.25">
      <c r="A36" s="28"/>
      <c r="B36" s="22"/>
      <c r="C36" s="28"/>
      <c r="D36" s="28"/>
      <c r="E36" s="28"/>
      <c r="F36" s="28"/>
      <c r="G36" s="28"/>
      <c r="H36" s="28"/>
      <c r="I36" s="215"/>
      <c r="J36" s="28"/>
      <c r="K36" s="28"/>
      <c r="L36" s="28" t="s">
        <v>34</v>
      </c>
      <c r="M36" s="28" t="s">
        <v>34</v>
      </c>
      <c r="N36" s="28"/>
      <c r="O36" s="28"/>
    </row>
    <row r="37" spans="1:15" x14ac:dyDescent="0.25">
      <c r="A37" s="28"/>
      <c r="B37" s="189" t="s">
        <v>620</v>
      </c>
      <c r="C37" s="189"/>
      <c r="D37" s="189"/>
      <c r="E37" s="189"/>
      <c r="F37" s="189"/>
      <c r="G37" s="189"/>
      <c r="H37" s="189"/>
      <c r="I37" s="189"/>
      <c r="J37" s="189"/>
      <c r="K37" s="189"/>
      <c r="L37" s="189" t="s">
        <v>34</v>
      </c>
      <c r="M37" s="28"/>
      <c r="N37" s="28"/>
      <c r="O37" s="28"/>
    </row>
    <row r="38" spans="1:15" x14ac:dyDescent="0.25">
      <c r="A38" s="28"/>
      <c r="B38" s="189"/>
      <c r="C38" s="189"/>
      <c r="D38" s="189"/>
      <c r="E38" s="189"/>
      <c r="F38" s="189"/>
      <c r="G38" s="189"/>
      <c r="H38" s="189"/>
      <c r="I38" s="189"/>
      <c r="J38" s="189"/>
      <c r="K38" s="189"/>
      <c r="L38" s="189"/>
      <c r="M38" s="28"/>
      <c r="N38" s="28"/>
      <c r="O38" s="28"/>
    </row>
    <row r="39" spans="1:15" x14ac:dyDescent="0.25">
      <c r="A39" s="28"/>
      <c r="B39" s="22" t="s">
        <v>633</v>
      </c>
      <c r="C39" s="28"/>
      <c r="D39" s="28"/>
      <c r="E39" s="28"/>
      <c r="F39" s="28"/>
      <c r="G39" s="28"/>
      <c r="H39" s="28"/>
      <c r="I39" s="215"/>
      <c r="J39" s="28"/>
      <c r="K39" s="28"/>
      <c r="L39" s="28"/>
      <c r="M39" s="28" t="s">
        <v>34</v>
      </c>
      <c r="N39" s="28"/>
      <c r="O39" s="28"/>
    </row>
    <row r="40" spans="1:15" x14ac:dyDescent="0.25">
      <c r="A40" s="28"/>
      <c r="B40" s="22" t="s">
        <v>628</v>
      </c>
      <c r="C40" s="189"/>
      <c r="D40" s="189"/>
      <c r="E40" s="189"/>
      <c r="F40" s="189"/>
      <c r="G40" s="189"/>
      <c r="H40" s="189"/>
      <c r="I40" s="189"/>
      <c r="J40" s="189"/>
      <c r="K40" s="189"/>
      <c r="M40" s="28"/>
      <c r="N40" s="28"/>
      <c r="O40" s="28"/>
    </row>
    <row r="41" spans="1:15" x14ac:dyDescent="0.25">
      <c r="A41" s="28"/>
      <c r="B41" s="189" t="s">
        <v>629</v>
      </c>
      <c r="C41" s="189"/>
      <c r="D41" s="189"/>
      <c r="E41" s="189"/>
      <c r="F41" s="189"/>
      <c r="G41" s="189"/>
      <c r="H41" s="189"/>
      <c r="I41" s="189"/>
      <c r="J41" s="189"/>
      <c r="K41" s="189"/>
      <c r="M41" s="28"/>
      <c r="N41" s="28"/>
      <c r="O41" s="28"/>
    </row>
    <row r="42" spans="1:15" x14ac:dyDescent="0.25">
      <c r="A42" s="28"/>
      <c r="B42" s="189" t="s">
        <v>627</v>
      </c>
      <c r="C42" s="87"/>
      <c r="D42" s="87"/>
      <c r="E42" s="87"/>
      <c r="F42" s="87"/>
      <c r="G42" s="87"/>
      <c r="H42" s="87"/>
      <c r="I42" s="88"/>
      <c r="J42" s="87"/>
      <c r="K42" s="87"/>
      <c r="L42" s="28"/>
      <c r="M42" s="28"/>
      <c r="N42" s="28"/>
      <c r="O42" s="28"/>
    </row>
    <row r="43" spans="1:15" x14ac:dyDescent="0.25">
      <c r="A43" s="28"/>
      <c r="B43" s="75"/>
      <c r="C43" s="28"/>
      <c r="D43" s="28"/>
      <c r="E43" s="28"/>
      <c r="F43" s="28"/>
      <c r="G43" s="28"/>
      <c r="H43" s="28"/>
      <c r="I43" s="215"/>
      <c r="J43" s="28"/>
      <c r="K43" s="28"/>
      <c r="N43" s="28"/>
      <c r="O43" s="28"/>
    </row>
    <row r="44" spans="1:15" x14ac:dyDescent="0.25">
      <c r="A44" s="28"/>
      <c r="B44" s="22"/>
      <c r="L44" s="28"/>
      <c r="N44" s="28"/>
      <c r="O44" s="28"/>
    </row>
    <row r="45" spans="1:15" x14ac:dyDescent="0.25">
      <c r="A45" s="28"/>
      <c r="B45" s="22"/>
      <c r="L45" s="28"/>
      <c r="N45" s="28"/>
      <c r="O45" s="28" t="s">
        <v>34</v>
      </c>
    </row>
    <row r="46" spans="1:15" x14ac:dyDescent="0.25">
      <c r="A46" s="28"/>
      <c r="B46" s="22"/>
      <c r="L46" s="28"/>
      <c r="M46" s="28"/>
      <c r="N46" s="28"/>
      <c r="O46" s="28"/>
    </row>
    <row r="47" spans="1:15" x14ac:dyDescent="0.25">
      <c r="B47" s="189"/>
      <c r="C47" s="64"/>
      <c r="D47" s="64"/>
      <c r="E47" s="64"/>
      <c r="F47" s="64"/>
      <c r="G47" s="64"/>
      <c r="H47" s="64"/>
      <c r="I47" s="64"/>
      <c r="J47" s="64"/>
      <c r="K47" s="64"/>
      <c r="L47" s="65"/>
      <c r="M47" s="28"/>
      <c r="N47" s="28"/>
      <c r="O47" s="28"/>
    </row>
    <row r="48" spans="1:15" x14ac:dyDescent="0.25">
      <c r="B48" s="189"/>
    </row>
    <row r="49" spans="2:15" x14ac:dyDescent="0.25">
      <c r="B49" s="22"/>
      <c r="C49" s="28"/>
      <c r="D49" s="28"/>
      <c r="E49" s="28"/>
      <c r="F49" s="28"/>
      <c r="G49" s="28"/>
      <c r="H49" s="28"/>
      <c r="I49" s="215"/>
      <c r="J49" s="28"/>
    </row>
    <row r="50" spans="2:15" x14ac:dyDescent="0.25">
      <c r="B50" s="189"/>
      <c r="C50" s="64"/>
      <c r="D50" s="64"/>
      <c r="E50" s="64"/>
      <c r="F50" s="64"/>
      <c r="G50" s="64"/>
      <c r="H50" s="64"/>
      <c r="I50" s="64"/>
      <c r="J50" s="64"/>
      <c r="K50" s="64"/>
      <c r="L50" s="65"/>
      <c r="O50" t="s">
        <v>34</v>
      </c>
    </row>
    <row r="51" spans="2:15" x14ac:dyDescent="0.25">
      <c r="B51" s="189"/>
      <c r="C51" s="189"/>
      <c r="D51" s="189"/>
      <c r="E51" s="189"/>
      <c r="F51" s="189"/>
      <c r="G51" s="189"/>
      <c r="H51" s="189"/>
      <c r="I51" s="189"/>
      <c r="J51" s="189"/>
      <c r="K51" s="189"/>
      <c r="N51" t="s">
        <v>34</v>
      </c>
    </row>
    <row r="52" spans="2:15" x14ac:dyDescent="0.25">
      <c r="B52" s="189"/>
      <c r="C52" s="189"/>
      <c r="D52" s="189"/>
      <c r="E52" s="189"/>
      <c r="F52" s="189"/>
      <c r="G52" s="189"/>
      <c r="H52" s="189"/>
      <c r="I52" s="189"/>
      <c r="J52" s="189"/>
      <c r="K52" s="189"/>
    </row>
    <row r="53" spans="2:15" x14ac:dyDescent="0.25">
      <c r="B53" s="22"/>
      <c r="C53" s="28"/>
      <c r="D53" s="28"/>
      <c r="E53" s="28"/>
      <c r="F53" s="28"/>
      <c r="G53" s="28"/>
      <c r="H53" s="215"/>
      <c r="I53" s="28"/>
      <c r="J53" s="189"/>
      <c r="K53" s="28"/>
    </row>
    <row r="54" spans="2:15" x14ac:dyDescent="0.25">
      <c r="N54" t="s">
        <v>34</v>
      </c>
    </row>
  </sheetData>
  <pageMargins left="0.7" right="0.7" top="0.75" bottom="0.75" header="0.3" footer="0.3"/>
  <pageSetup scale="59" orientation="landscape" verticalDpi="597"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rgb="FFFF0000"/>
    <pageSetUpPr fitToPage="1"/>
  </sheetPr>
  <dimension ref="A6:S53"/>
  <sheetViews>
    <sheetView zoomScale="90" zoomScaleNormal="90" workbookViewId="0"/>
  </sheetViews>
  <sheetFormatPr defaultRowHeight="15" x14ac:dyDescent="0.25"/>
  <cols>
    <col min="2" max="2" width="10" customWidth="1"/>
    <col min="9" max="9" width="10.28515625" bestFit="1" customWidth="1"/>
    <col min="11" max="11" width="8.42578125" bestFit="1" customWidth="1"/>
  </cols>
  <sheetData>
    <row r="6" spans="1:15" x14ac:dyDescent="0.25">
      <c r="A6" s="7" t="s">
        <v>12</v>
      </c>
      <c r="B6" s="28"/>
      <c r="C6" s="28"/>
      <c r="D6" s="28"/>
      <c r="E6" s="28"/>
      <c r="F6" s="28"/>
      <c r="G6" s="28"/>
      <c r="H6" s="28"/>
      <c r="I6" s="216"/>
      <c r="J6" s="28"/>
      <c r="K6" s="28"/>
      <c r="L6" s="28"/>
      <c r="M6" s="28"/>
      <c r="N6" s="28"/>
      <c r="O6" s="28"/>
    </row>
    <row r="7" spans="1:15" x14ac:dyDescent="0.25">
      <c r="A7" s="30" t="s">
        <v>13</v>
      </c>
      <c r="B7" s="30">
        <v>41680</v>
      </c>
    </row>
    <row r="8" spans="1:15" x14ac:dyDescent="0.25">
      <c r="A8" s="28" t="s">
        <v>14</v>
      </c>
      <c r="B8" s="28">
        <v>21</v>
      </c>
      <c r="C8" s="28" t="s">
        <v>630</v>
      </c>
      <c r="D8" s="28"/>
      <c r="E8" s="28"/>
      <c r="F8" s="28"/>
      <c r="G8" s="28"/>
      <c r="H8" s="28"/>
      <c r="I8" s="216"/>
      <c r="J8" s="28"/>
      <c r="K8" s="28" t="s">
        <v>34</v>
      </c>
      <c r="L8" s="28" t="s">
        <v>34</v>
      </c>
      <c r="M8" s="28"/>
      <c r="N8" s="28"/>
      <c r="O8" s="28"/>
    </row>
    <row r="9" spans="1:15" x14ac:dyDescent="0.25">
      <c r="A9" s="28" t="s">
        <v>15</v>
      </c>
      <c r="B9" s="28">
        <v>10</v>
      </c>
      <c r="C9" s="28" t="s">
        <v>240</v>
      </c>
      <c r="D9" s="28"/>
      <c r="E9" s="28"/>
      <c r="F9" s="28"/>
      <c r="G9" s="28"/>
      <c r="H9" s="28"/>
      <c r="I9" s="216"/>
      <c r="J9" s="28"/>
      <c r="K9" s="28"/>
      <c r="L9" s="28"/>
      <c r="M9" s="28"/>
      <c r="N9" s="28"/>
      <c r="O9" s="28"/>
    </row>
    <row r="10" spans="1:15" x14ac:dyDescent="0.25">
      <c r="A10" s="28" t="s">
        <v>16</v>
      </c>
      <c r="B10" s="31">
        <v>2500</v>
      </c>
      <c r="C10" s="28" t="s">
        <v>704</v>
      </c>
      <c r="D10" s="28"/>
      <c r="E10" s="28"/>
      <c r="F10" s="28"/>
      <c r="G10" s="28"/>
      <c r="H10" s="28"/>
      <c r="I10" s="216" t="s">
        <v>34</v>
      </c>
      <c r="J10" s="28" t="s">
        <v>34</v>
      </c>
      <c r="K10" s="28" t="s">
        <v>34</v>
      </c>
      <c r="L10" s="28" t="s">
        <v>34</v>
      </c>
      <c r="M10" s="28" t="s">
        <v>34</v>
      </c>
      <c r="N10" s="28" t="s">
        <v>34</v>
      </c>
      <c r="O10" s="28"/>
    </row>
    <row r="11" spans="1:15" x14ac:dyDescent="0.25">
      <c r="A11" s="28"/>
      <c r="B11" s="31" t="s">
        <v>58</v>
      </c>
      <c r="C11" s="28"/>
      <c r="D11" s="28"/>
      <c r="E11" s="28"/>
      <c r="F11" s="28"/>
      <c r="G11" s="28"/>
      <c r="H11" s="28"/>
      <c r="I11" s="216"/>
      <c r="J11" s="28"/>
      <c r="K11" s="28" t="s">
        <v>34</v>
      </c>
      <c r="L11" s="28"/>
      <c r="M11" s="28"/>
      <c r="N11" s="28"/>
      <c r="O11" s="28"/>
    </row>
    <row r="12" spans="1:15" x14ac:dyDescent="0.25">
      <c r="A12" s="28"/>
      <c r="B12" s="31">
        <v>112</v>
      </c>
      <c r="C12" s="28" t="s">
        <v>707</v>
      </c>
      <c r="D12" s="28"/>
      <c r="E12" s="28"/>
      <c r="F12" s="28"/>
      <c r="G12" s="28"/>
      <c r="H12" s="28"/>
      <c r="I12" s="216"/>
      <c r="J12" s="31" t="s">
        <v>609</v>
      </c>
      <c r="K12" s="28"/>
      <c r="L12" s="28"/>
      <c r="M12" s="28"/>
      <c r="N12" s="28"/>
      <c r="O12" s="28"/>
    </row>
    <row r="13" spans="1:15" x14ac:dyDescent="0.25">
      <c r="A13" s="28"/>
      <c r="B13" s="31">
        <v>6</v>
      </c>
      <c r="C13" s="28" t="s">
        <v>697</v>
      </c>
      <c r="D13" s="28"/>
      <c r="E13" s="28"/>
      <c r="F13" s="28"/>
      <c r="G13" s="28"/>
      <c r="H13" s="28"/>
      <c r="I13" s="235"/>
      <c r="J13" s="28"/>
      <c r="K13" s="28"/>
      <c r="L13" s="28"/>
      <c r="M13" s="28"/>
      <c r="N13" s="28"/>
      <c r="O13" s="28"/>
    </row>
    <row r="14" spans="1:15" x14ac:dyDescent="0.25">
      <c r="A14" s="28"/>
      <c r="B14" s="31">
        <v>100</v>
      </c>
      <c r="C14" s="87" t="s">
        <v>696</v>
      </c>
      <c r="D14" s="28"/>
      <c r="E14" s="28"/>
      <c r="F14" s="28"/>
      <c r="G14" s="28"/>
      <c r="H14" s="28"/>
      <c r="I14" s="235"/>
      <c r="J14" s="28"/>
      <c r="K14" s="28"/>
      <c r="L14" s="28"/>
      <c r="M14" s="28"/>
      <c r="N14" s="28"/>
      <c r="O14" s="28"/>
    </row>
    <row r="15" spans="1:15" x14ac:dyDescent="0.25">
      <c r="A15" s="28"/>
      <c r="B15" s="31">
        <v>0</v>
      </c>
      <c r="C15" s="87" t="s">
        <v>698</v>
      </c>
      <c r="D15" s="28"/>
      <c r="E15" s="28"/>
      <c r="F15" s="28"/>
      <c r="G15" s="28"/>
      <c r="H15" s="28"/>
      <c r="I15" s="235"/>
      <c r="J15" s="28"/>
      <c r="K15" s="28"/>
      <c r="L15" s="28"/>
      <c r="M15" s="28"/>
      <c r="N15" s="28"/>
      <c r="O15" s="28"/>
    </row>
    <row r="16" spans="1:15" x14ac:dyDescent="0.25">
      <c r="A16" s="28"/>
      <c r="B16" s="232">
        <f>(B12*B13/100*1000)/(B10-B14+B12+B15)*1000</f>
        <v>2675.1592356687897</v>
      </c>
      <c r="C16" s="28" t="s">
        <v>700</v>
      </c>
      <c r="D16" s="28"/>
      <c r="E16" s="28"/>
      <c r="F16" s="28"/>
      <c r="G16" s="28"/>
      <c r="H16" s="28"/>
      <c r="I16" s="235"/>
      <c r="J16" s="28"/>
      <c r="K16" s="28"/>
      <c r="L16" s="28"/>
      <c r="M16" s="28"/>
      <c r="N16" s="28"/>
      <c r="O16" s="28"/>
    </row>
    <row r="17" spans="1:19" ht="15.75" thickBot="1" x14ac:dyDescent="0.3">
      <c r="A17" s="28"/>
      <c r="B17" s="28" t="s">
        <v>647</v>
      </c>
      <c r="C17" s="28"/>
      <c r="D17" s="28"/>
      <c r="E17" s="28"/>
      <c r="F17" s="28"/>
      <c r="G17" s="28"/>
      <c r="H17" s="28"/>
      <c r="I17" s="216"/>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19" ht="15.75" thickBot="1" x14ac:dyDescent="0.3">
      <c r="A19" s="32">
        <v>0</v>
      </c>
      <c r="B19" s="23">
        <v>4.5</v>
      </c>
      <c r="C19" s="23">
        <v>6.4</v>
      </c>
      <c r="D19" s="23">
        <v>6.42</v>
      </c>
      <c r="E19" s="23">
        <v>0.66</v>
      </c>
      <c r="F19" s="23"/>
      <c r="G19" s="23">
        <v>602</v>
      </c>
      <c r="H19" s="23">
        <v>3430</v>
      </c>
      <c r="I19" s="33">
        <v>31000000</v>
      </c>
      <c r="J19" s="50">
        <f>LOG(I$19)-LOG(I19)</f>
        <v>0</v>
      </c>
      <c r="K19" s="33">
        <v>470000000</v>
      </c>
      <c r="L19" s="23" t="s">
        <v>26</v>
      </c>
      <c r="M19" s="34"/>
      <c r="N19" s="34"/>
      <c r="O19" s="35"/>
      <c r="P19" s="233">
        <f>B$16*A19</f>
        <v>0</v>
      </c>
      <c r="Q19" s="233">
        <f>6/LINEST(J19:J23,P19:P23,FALSE)</f>
        <v>77574.206924868558</v>
      </c>
      <c r="R19" s="233">
        <f>Q19/3000</f>
        <v>25.858068974956186</v>
      </c>
      <c r="S19" s="233">
        <f>(J29/LINEST($J19:$J23,$P19:$P23,FALSE))/$B$16</f>
        <v>36.247471688108227</v>
      </c>
    </row>
    <row r="20" spans="1:19" ht="15.75" thickBot="1" x14ac:dyDescent="0.3">
      <c r="A20" s="32">
        <v>5</v>
      </c>
      <c r="B20" s="24">
        <v>4.3</v>
      </c>
      <c r="C20" s="24">
        <v>9.26</v>
      </c>
      <c r="D20" s="24">
        <v>10.58</v>
      </c>
      <c r="E20" s="24">
        <v>4800</v>
      </c>
      <c r="F20" s="24">
        <v>1.56</v>
      </c>
      <c r="G20" s="24">
        <v>277</v>
      </c>
      <c r="H20" s="24">
        <v>3820</v>
      </c>
      <c r="I20" s="33">
        <v>30000000</v>
      </c>
      <c r="J20" s="50">
        <f>LOG(I$19)-LOG(I20)</f>
        <v>1.4240439114610481E-2</v>
      </c>
      <c r="K20" s="33">
        <v>39000000</v>
      </c>
      <c r="L20" s="24">
        <v>1.1000000000000001</v>
      </c>
      <c r="M20" s="35"/>
      <c r="N20" s="35"/>
      <c r="O20" s="35"/>
      <c r="P20" s="233">
        <f>B$16*A20</f>
        <v>13375.79617834395</v>
      </c>
    </row>
    <row r="21" spans="1:19" ht="15.75" thickBot="1" x14ac:dyDescent="0.3">
      <c r="A21" s="32">
        <v>10</v>
      </c>
      <c r="B21" s="24">
        <v>4.2</v>
      </c>
      <c r="C21" s="24">
        <v>9.26</v>
      </c>
      <c r="D21" s="24">
        <v>10.64</v>
      </c>
      <c r="E21" s="24">
        <v>2800</v>
      </c>
      <c r="F21" s="24">
        <v>1.1299999999999999</v>
      </c>
      <c r="G21" s="24">
        <v>208</v>
      </c>
      <c r="H21" s="24">
        <v>3610</v>
      </c>
      <c r="I21" s="33">
        <v>470000</v>
      </c>
      <c r="J21" s="50">
        <f>LOG(I$19)-LOG(I21)</f>
        <v>1.819263835898556</v>
      </c>
      <c r="K21" s="33">
        <v>0</v>
      </c>
      <c r="L21" s="24" t="s">
        <v>631</v>
      </c>
      <c r="M21" s="35"/>
      <c r="N21" s="35"/>
      <c r="O21" s="35"/>
      <c r="P21" s="233">
        <f>B$16*A21</f>
        <v>26751.592356687899</v>
      </c>
    </row>
    <row r="22" spans="1:19" ht="15.75" thickBot="1" x14ac:dyDescent="0.3">
      <c r="A22" s="32">
        <v>15</v>
      </c>
      <c r="B22" s="24">
        <v>4</v>
      </c>
      <c r="C22" s="24">
        <v>9.25</v>
      </c>
      <c r="D22" s="24">
        <v>10.73</v>
      </c>
      <c r="E22" s="24">
        <v>2000</v>
      </c>
      <c r="F22" s="24">
        <v>0.61</v>
      </c>
      <c r="G22" s="24">
        <v>232</v>
      </c>
      <c r="H22" s="24">
        <v>3040</v>
      </c>
      <c r="I22" s="33">
        <v>4500</v>
      </c>
      <c r="J22" s="50">
        <f>LOG(I$19)-LOG(I22)</f>
        <v>3.8381491800589296</v>
      </c>
      <c r="K22" s="33">
        <v>100</v>
      </c>
      <c r="L22" s="24">
        <v>6.7</v>
      </c>
      <c r="M22" s="35"/>
      <c r="N22" s="35"/>
      <c r="O22" s="35"/>
      <c r="P22" s="233">
        <f>B$16*A22</f>
        <v>40127.388535031845</v>
      </c>
    </row>
    <row r="23" spans="1:19" ht="15.75" thickBot="1" x14ac:dyDescent="0.3">
      <c r="A23" s="32">
        <v>30</v>
      </c>
      <c r="B23" s="24">
        <v>3.9</v>
      </c>
      <c r="C23" s="24">
        <v>9.1999999999999993</v>
      </c>
      <c r="D23" s="24">
        <v>10.74</v>
      </c>
      <c r="E23" s="24">
        <v>1100</v>
      </c>
      <c r="F23" s="24">
        <v>0.65</v>
      </c>
      <c r="G23" s="24">
        <v>283</v>
      </c>
      <c r="H23" s="24">
        <v>3020</v>
      </c>
      <c r="I23" s="33">
        <v>25</v>
      </c>
      <c r="J23" s="50">
        <f>LOG(I$19)-LOG(I23)</f>
        <v>6.0934216851622356</v>
      </c>
      <c r="K23" s="33">
        <v>0</v>
      </c>
      <c r="L23" s="24" t="s">
        <v>631</v>
      </c>
      <c r="M23" s="36"/>
      <c r="N23" s="36"/>
      <c r="O23" s="35"/>
      <c r="P23" s="233">
        <f>B$16*A23</f>
        <v>80254.77707006369</v>
      </c>
    </row>
    <row r="24" spans="1:19" ht="15.75" thickBot="1" x14ac:dyDescent="0.3">
      <c r="A24" s="32">
        <v>60</v>
      </c>
      <c r="B24" s="24">
        <v>3.7</v>
      </c>
      <c r="C24" s="24">
        <v>9.1300000000000008</v>
      </c>
      <c r="D24" s="24">
        <v>10.88</v>
      </c>
      <c r="E24" s="24">
        <v>6600</v>
      </c>
      <c r="F24" s="58">
        <v>0.53</v>
      </c>
      <c r="G24" s="24">
        <v>276</v>
      </c>
      <c r="H24" s="24">
        <v>3250</v>
      </c>
      <c r="I24" s="33">
        <v>0</v>
      </c>
      <c r="J24" s="24" t="s">
        <v>632</v>
      </c>
      <c r="K24" s="33">
        <v>0</v>
      </c>
      <c r="L24" s="24" t="s">
        <v>631</v>
      </c>
      <c r="M24" s="36"/>
      <c r="N24" s="36"/>
      <c r="O24" s="27"/>
      <c r="P24" s="233"/>
    </row>
    <row r="25" spans="1:19" ht="15.75" thickBot="1" x14ac:dyDescent="0.3">
      <c r="A25" s="32">
        <v>120</v>
      </c>
      <c r="B25" s="24">
        <v>3.5</v>
      </c>
      <c r="C25" s="24">
        <v>9.07</v>
      </c>
      <c r="D25" s="24">
        <v>11.33</v>
      </c>
      <c r="E25" s="24">
        <v>2300</v>
      </c>
      <c r="F25" s="58">
        <v>0.78</v>
      </c>
      <c r="G25" s="24">
        <v>292</v>
      </c>
      <c r="H25" s="24">
        <v>3860</v>
      </c>
      <c r="I25" s="33">
        <v>0</v>
      </c>
      <c r="J25" s="24" t="s">
        <v>632</v>
      </c>
      <c r="K25" s="33">
        <v>0</v>
      </c>
      <c r="L25" s="24" t="s">
        <v>631</v>
      </c>
      <c r="M25" s="36"/>
      <c r="N25" s="36"/>
      <c r="O25" s="27"/>
      <c r="P25" s="233"/>
    </row>
    <row r="26" spans="1:19" ht="15.75" thickBot="1" x14ac:dyDescent="0.3">
      <c r="A26" s="32">
        <v>180</v>
      </c>
      <c r="B26" s="24">
        <v>3.5</v>
      </c>
      <c r="C26" s="24">
        <v>9.0299999999999994</v>
      </c>
      <c r="D26" s="24">
        <v>11.71</v>
      </c>
      <c r="E26" s="24">
        <v>2400</v>
      </c>
      <c r="F26" s="58">
        <v>0.27</v>
      </c>
      <c r="G26" s="24">
        <v>303</v>
      </c>
      <c r="H26" s="24">
        <v>4000</v>
      </c>
      <c r="I26" s="33">
        <v>0</v>
      </c>
      <c r="J26" s="24" t="s">
        <v>632</v>
      </c>
      <c r="K26" s="33">
        <v>0</v>
      </c>
      <c r="L26" s="24" t="s">
        <v>631</v>
      </c>
      <c r="M26" s="36"/>
      <c r="N26" s="36"/>
      <c r="O26" s="27"/>
      <c r="P26" s="233"/>
    </row>
    <row r="27" spans="1:19" ht="15.75" thickBot="1" x14ac:dyDescent="0.3">
      <c r="A27" s="32">
        <v>240</v>
      </c>
      <c r="B27" s="24">
        <v>3.3</v>
      </c>
      <c r="C27" s="24">
        <v>9.01</v>
      </c>
      <c r="D27" s="24">
        <v>12.24</v>
      </c>
      <c r="E27" s="24">
        <v>2200</v>
      </c>
      <c r="F27" s="58">
        <v>0.51</v>
      </c>
      <c r="G27" s="24">
        <v>257</v>
      </c>
      <c r="H27" s="24">
        <v>3710</v>
      </c>
      <c r="I27" s="33">
        <v>0</v>
      </c>
      <c r="J27" s="24" t="s">
        <v>632</v>
      </c>
      <c r="K27" s="33">
        <v>0</v>
      </c>
      <c r="L27" s="24" t="s">
        <v>631</v>
      </c>
      <c r="M27" s="36"/>
      <c r="N27" s="36"/>
      <c r="O27" s="27"/>
      <c r="P27" s="220"/>
    </row>
    <row r="28" spans="1:19" ht="15.75" thickBot="1" x14ac:dyDescent="0.3">
      <c r="A28" s="86" t="s">
        <v>614</v>
      </c>
      <c r="B28" s="36">
        <v>3.5</v>
      </c>
      <c r="C28" s="36">
        <v>9.15</v>
      </c>
      <c r="D28" s="36">
        <v>12.23</v>
      </c>
      <c r="E28" s="36">
        <v>3500</v>
      </c>
      <c r="F28" s="36">
        <v>1.03</v>
      </c>
      <c r="G28" s="36">
        <v>296</v>
      </c>
      <c r="H28" s="36">
        <v>3750</v>
      </c>
      <c r="I28" s="33">
        <v>0</v>
      </c>
      <c r="J28" s="24" t="s">
        <v>632</v>
      </c>
      <c r="K28" s="33">
        <v>0</v>
      </c>
      <c r="L28" s="24" t="s">
        <v>631</v>
      </c>
      <c r="M28" s="36">
        <v>117</v>
      </c>
      <c r="N28" s="36">
        <v>10780</v>
      </c>
      <c r="O28" s="35">
        <v>1375</v>
      </c>
    </row>
    <row r="29" spans="1:19" x14ac:dyDescent="0.25">
      <c r="B29">
        <f>AVERAGE(B20:B23)</f>
        <v>4.0999999999999996</v>
      </c>
      <c r="C29">
        <f>AVERAGE(C20:C23)</f>
        <v>9.2424999999999997</v>
      </c>
      <c r="E29" s="155">
        <f>AVERAGE(E20:E27)</f>
        <v>3025</v>
      </c>
      <c r="F29" s="155">
        <f>_xlfn.STDEV.P(E20:E27)</f>
        <v>1670.8904811506948</v>
      </c>
      <c r="J29">
        <v>7.5</v>
      </c>
      <c r="N29" s="28"/>
      <c r="O29" s="28"/>
    </row>
    <row r="30" spans="1:19" x14ac:dyDescent="0.25">
      <c r="A30" s="28" t="s">
        <v>140</v>
      </c>
      <c r="B30" s="28"/>
      <c r="C30" s="28"/>
      <c r="D30" s="28"/>
      <c r="E30" s="28"/>
      <c r="F30" s="28"/>
      <c r="G30" s="28"/>
      <c r="H30" s="28"/>
      <c r="I30" s="216"/>
      <c r="J30" s="28"/>
      <c r="K30" s="28"/>
      <c r="L30" s="28"/>
      <c r="M30" s="28"/>
      <c r="N30" s="28"/>
      <c r="O30" s="28"/>
    </row>
    <row r="31" spans="1:19" x14ac:dyDescent="0.25">
      <c r="A31" s="28"/>
      <c r="B31" s="28" t="s">
        <v>141</v>
      </c>
      <c r="C31" s="28"/>
      <c r="D31" s="28"/>
      <c r="E31" s="28"/>
      <c r="F31" s="28"/>
      <c r="G31" s="28"/>
      <c r="H31" s="28"/>
      <c r="I31" s="216"/>
      <c r="J31" s="28"/>
      <c r="K31" s="28"/>
      <c r="L31" s="28"/>
      <c r="M31" s="28"/>
      <c r="N31" s="28" t="s">
        <v>34</v>
      </c>
      <c r="O31" s="28"/>
    </row>
    <row r="32" spans="1:19" x14ac:dyDescent="0.25">
      <c r="A32" s="28" t="s">
        <v>264</v>
      </c>
      <c r="B32" s="28"/>
      <c r="C32" s="28"/>
      <c r="D32" s="28"/>
      <c r="E32" s="28"/>
      <c r="F32" s="28"/>
      <c r="G32" s="28"/>
      <c r="H32" s="28"/>
      <c r="I32" s="216"/>
      <c r="J32" s="28" t="s">
        <v>34</v>
      </c>
      <c r="K32" s="28"/>
      <c r="L32" s="28" t="s">
        <v>34</v>
      </c>
      <c r="M32" s="28"/>
      <c r="N32" s="28"/>
      <c r="O32" s="28"/>
    </row>
    <row r="33" spans="1:15" x14ac:dyDescent="0.25">
      <c r="A33" s="59"/>
      <c r="F33" s="28"/>
      <c r="G33" s="28"/>
      <c r="H33" s="28"/>
      <c r="I33" s="216"/>
      <c r="J33" s="28"/>
      <c r="K33" s="28"/>
      <c r="L33" s="28" t="s">
        <v>34</v>
      </c>
      <c r="M33" s="28" t="s">
        <v>34</v>
      </c>
      <c r="N33" s="28"/>
      <c r="O33" s="28"/>
    </row>
    <row r="34" spans="1:15" x14ac:dyDescent="0.25">
      <c r="A34" s="19" t="s">
        <v>28</v>
      </c>
      <c r="B34" s="28"/>
      <c r="C34" s="28"/>
      <c r="D34" s="28"/>
      <c r="E34" s="28"/>
      <c r="F34" s="28"/>
      <c r="G34" s="28"/>
      <c r="H34" s="28"/>
      <c r="I34" s="216"/>
      <c r="J34" s="28"/>
      <c r="K34" s="28" t="s">
        <v>34</v>
      </c>
      <c r="L34" s="28"/>
      <c r="M34" s="28" t="s">
        <v>34</v>
      </c>
      <c r="N34" s="28"/>
      <c r="O34" s="28"/>
    </row>
    <row r="35" spans="1:15" x14ac:dyDescent="0.25">
      <c r="A35" s="28"/>
      <c r="B35" s="22"/>
      <c r="C35" s="28"/>
      <c r="D35" s="28"/>
      <c r="E35" s="28"/>
      <c r="F35" s="28"/>
      <c r="G35" s="28"/>
      <c r="H35" s="28"/>
      <c r="I35" s="216"/>
      <c r="J35" s="28"/>
      <c r="K35" s="28"/>
      <c r="L35" s="28" t="s">
        <v>34</v>
      </c>
      <c r="M35" s="28" t="s">
        <v>34</v>
      </c>
      <c r="N35" s="28"/>
      <c r="O35" s="28"/>
    </row>
    <row r="36" spans="1:15" x14ac:dyDescent="0.25">
      <c r="A36" s="28"/>
      <c r="B36" s="189" t="s">
        <v>703</v>
      </c>
      <c r="C36" s="189"/>
      <c r="D36" s="189"/>
      <c r="E36" s="189"/>
      <c r="F36" s="189"/>
      <c r="G36" s="189"/>
      <c r="H36" s="189"/>
      <c r="I36" s="189"/>
      <c r="J36" s="189"/>
      <c r="K36" s="189"/>
      <c r="L36" s="189" t="s">
        <v>34</v>
      </c>
      <c r="M36" s="28"/>
      <c r="N36" s="28"/>
      <c r="O36" s="28"/>
    </row>
    <row r="37" spans="1:15" x14ac:dyDescent="0.25">
      <c r="A37" s="28"/>
      <c r="B37" s="189"/>
      <c r="C37" s="189"/>
      <c r="D37" s="189"/>
      <c r="E37" s="189"/>
      <c r="F37" s="189"/>
      <c r="G37" s="189"/>
      <c r="H37" s="189"/>
      <c r="I37" s="189"/>
      <c r="J37" s="189"/>
      <c r="K37" s="189"/>
      <c r="L37" s="189"/>
      <c r="M37" s="28"/>
      <c r="N37" s="28"/>
      <c r="O37" s="28"/>
    </row>
    <row r="38" spans="1:15" x14ac:dyDescent="0.25">
      <c r="A38" s="28"/>
      <c r="B38" s="22" t="s">
        <v>633</v>
      </c>
      <c r="C38" s="28"/>
      <c r="D38" s="28"/>
      <c r="E38" s="28"/>
      <c r="F38" s="28"/>
      <c r="G38" s="28"/>
      <c r="H38" s="28"/>
      <c r="I38" s="216"/>
      <c r="J38" s="28"/>
      <c r="K38" s="28"/>
      <c r="L38" s="28"/>
      <c r="M38" s="28" t="s">
        <v>34</v>
      </c>
      <c r="N38" s="28"/>
      <c r="O38" s="28"/>
    </row>
    <row r="39" spans="1:15" x14ac:dyDescent="0.25">
      <c r="A39" s="28"/>
      <c r="B39" s="22" t="s">
        <v>634</v>
      </c>
      <c r="C39" s="189"/>
      <c r="D39" s="189"/>
      <c r="E39" s="189"/>
      <c r="F39" s="189"/>
      <c r="G39" s="189"/>
      <c r="H39" s="189"/>
      <c r="I39" s="189"/>
      <c r="J39" s="189"/>
      <c r="K39" s="189"/>
      <c r="M39" s="28"/>
      <c r="N39" s="28"/>
      <c r="O39" s="28"/>
    </row>
    <row r="40" spans="1:15" x14ac:dyDescent="0.25">
      <c r="A40" s="28"/>
      <c r="B40" s="189" t="s">
        <v>626</v>
      </c>
      <c r="C40" s="189"/>
      <c r="D40" s="189"/>
      <c r="E40" s="189"/>
      <c r="F40" s="189"/>
      <c r="G40" s="189"/>
      <c r="H40" s="189"/>
      <c r="I40" s="189"/>
      <c r="J40" s="189"/>
      <c r="K40" s="189"/>
      <c r="M40" s="28"/>
      <c r="N40" s="28"/>
      <c r="O40" s="28"/>
    </row>
    <row r="41" spans="1:15" x14ac:dyDescent="0.25">
      <c r="A41" s="28"/>
      <c r="B41" s="189" t="s">
        <v>627</v>
      </c>
      <c r="C41" s="87"/>
      <c r="D41" s="87"/>
      <c r="E41" s="87"/>
      <c r="F41" s="87"/>
      <c r="G41" s="87"/>
      <c r="H41" s="87"/>
      <c r="I41" s="88"/>
      <c r="J41" s="87"/>
      <c r="K41" s="87"/>
      <c r="L41" s="28"/>
      <c r="M41" s="28"/>
      <c r="N41" s="28"/>
      <c r="O41" s="28"/>
    </row>
    <row r="42" spans="1:15" x14ac:dyDescent="0.25">
      <c r="A42" s="28"/>
      <c r="B42" s="75"/>
      <c r="C42" s="28"/>
      <c r="D42" s="28"/>
      <c r="E42" s="28"/>
      <c r="F42" s="28"/>
      <c r="G42" s="28"/>
      <c r="H42" s="28"/>
      <c r="I42" s="216"/>
      <c r="J42" s="28"/>
      <c r="K42" s="28"/>
      <c r="N42" s="28"/>
      <c r="O42" s="28"/>
    </row>
    <row r="43" spans="1:15" x14ac:dyDescent="0.25">
      <c r="A43" s="28" t="s">
        <v>702</v>
      </c>
      <c r="B43" s="22"/>
      <c r="L43" s="28"/>
      <c r="N43" s="28"/>
      <c r="O43" s="28"/>
    </row>
    <row r="44" spans="1:15" x14ac:dyDescent="0.25">
      <c r="A44" s="28"/>
      <c r="B44" s="22"/>
      <c r="L44" s="28"/>
      <c r="N44" s="28"/>
      <c r="O44" s="28" t="s">
        <v>34</v>
      </c>
    </row>
    <row r="45" spans="1:15" x14ac:dyDescent="0.25">
      <c r="A45" s="28"/>
      <c r="B45" s="22"/>
      <c r="L45" s="28"/>
      <c r="M45" s="28"/>
      <c r="N45" s="28"/>
      <c r="O45" s="28"/>
    </row>
    <row r="46" spans="1:15" x14ac:dyDescent="0.25">
      <c r="B46" s="189"/>
      <c r="C46" s="64"/>
      <c r="D46" s="64"/>
      <c r="E46" s="64"/>
      <c r="F46" s="64"/>
      <c r="G46" s="64"/>
      <c r="H46" s="64"/>
      <c r="I46" s="64"/>
      <c r="J46" s="64"/>
      <c r="K46" s="64"/>
      <c r="L46" s="65"/>
      <c r="M46" s="28"/>
      <c r="N46" s="28"/>
      <c r="O46" s="28"/>
    </row>
    <row r="47" spans="1:15" x14ac:dyDescent="0.25">
      <c r="B47" s="189"/>
    </row>
    <row r="48" spans="1:15" x14ac:dyDescent="0.25">
      <c r="B48" s="22"/>
      <c r="C48" s="28"/>
      <c r="D48" s="28"/>
      <c r="E48" s="28"/>
      <c r="F48" s="28"/>
      <c r="G48" s="28"/>
      <c r="H48" s="28"/>
      <c r="I48" s="216"/>
      <c r="J48" s="28"/>
    </row>
    <row r="49" spans="2:15" x14ac:dyDescent="0.25">
      <c r="B49" s="189"/>
      <c r="C49" s="64"/>
      <c r="D49" s="64"/>
      <c r="E49" s="64"/>
      <c r="F49" s="64"/>
      <c r="G49" s="64"/>
      <c r="H49" s="64"/>
      <c r="I49" s="64"/>
      <c r="J49" s="64"/>
      <c r="K49" s="64"/>
      <c r="L49" s="65"/>
      <c r="O49" t="s">
        <v>34</v>
      </c>
    </row>
    <row r="50" spans="2:15" x14ac:dyDescent="0.25">
      <c r="B50" s="189"/>
      <c r="C50" s="189"/>
      <c r="D50" s="189"/>
      <c r="E50" s="189"/>
      <c r="F50" s="189"/>
      <c r="G50" s="189"/>
      <c r="H50" s="189"/>
      <c r="I50" s="189"/>
      <c r="J50" s="189"/>
      <c r="K50" s="189"/>
      <c r="N50" t="s">
        <v>34</v>
      </c>
    </row>
    <row r="51" spans="2:15" x14ac:dyDescent="0.25">
      <c r="B51" s="189"/>
      <c r="C51" s="189"/>
      <c r="D51" s="189"/>
      <c r="E51" s="189"/>
      <c r="F51" s="189"/>
      <c r="G51" s="189"/>
      <c r="H51" s="189"/>
      <c r="I51" s="189"/>
      <c r="J51" s="189"/>
      <c r="K51" s="189"/>
    </row>
    <row r="52" spans="2:15" x14ac:dyDescent="0.25">
      <c r="B52" s="22"/>
      <c r="C52" s="28"/>
      <c r="D52" s="28"/>
      <c r="E52" s="28"/>
      <c r="F52" s="28"/>
      <c r="G52" s="28"/>
      <c r="H52" s="216"/>
      <c r="I52" s="28"/>
      <c r="J52" s="189"/>
      <c r="K52" s="28"/>
    </row>
    <row r="53" spans="2:15" x14ac:dyDescent="0.25">
      <c r="N53" t="s">
        <v>34</v>
      </c>
    </row>
  </sheetData>
  <pageMargins left="0.7" right="0.7" top="0.75" bottom="0.75" header="0.3" footer="0.3"/>
  <pageSetup scale="60" orientation="landscape" verticalDpi="597" r:id="rId1"/>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0000CC"/>
    <pageSetUpPr fitToPage="1"/>
  </sheetPr>
  <dimension ref="A6:U52"/>
  <sheetViews>
    <sheetView zoomScale="90" zoomScaleNormal="90" workbookViewId="0"/>
  </sheetViews>
  <sheetFormatPr defaultRowHeight="15" x14ac:dyDescent="0.25"/>
  <cols>
    <col min="2" max="2" width="13.140625" customWidth="1"/>
    <col min="5" max="5" width="13.42578125" bestFit="1" customWidth="1"/>
    <col min="9" max="9" width="10.28515625" bestFit="1" customWidth="1"/>
    <col min="11" max="11" width="8.42578125" bestFit="1" customWidth="1"/>
    <col min="16" max="16" width="11.5703125" bestFit="1" customWidth="1"/>
    <col min="17" max="17" width="16.28515625" customWidth="1"/>
    <col min="18" max="18" width="12.5703125" customWidth="1"/>
  </cols>
  <sheetData>
    <row r="6" spans="1:15" x14ac:dyDescent="0.25">
      <c r="A6" s="7" t="s">
        <v>12</v>
      </c>
      <c r="B6" s="28"/>
      <c r="C6" s="28"/>
      <c r="D6" s="28"/>
      <c r="E6" s="28"/>
      <c r="F6" s="28"/>
      <c r="G6" s="28"/>
      <c r="H6" s="28"/>
      <c r="I6" s="222"/>
      <c r="J6" s="28"/>
      <c r="M6" s="28"/>
      <c r="N6" s="28"/>
      <c r="O6" s="28"/>
    </row>
    <row r="7" spans="1:15" x14ac:dyDescent="0.25">
      <c r="A7" s="30" t="s">
        <v>13</v>
      </c>
      <c r="B7" s="30">
        <v>42052</v>
      </c>
      <c r="L7" s="28"/>
    </row>
    <row r="8" spans="1:15" x14ac:dyDescent="0.25">
      <c r="A8" s="28" t="s">
        <v>14</v>
      </c>
      <c r="B8" s="28">
        <v>21</v>
      </c>
      <c r="C8" s="28" t="s">
        <v>660</v>
      </c>
      <c r="D8" s="28"/>
      <c r="E8" s="28"/>
      <c r="F8" s="28"/>
      <c r="G8" s="28"/>
      <c r="H8" s="28"/>
      <c r="I8" s="31"/>
      <c r="M8" s="28"/>
      <c r="N8" s="28"/>
      <c r="O8" s="28"/>
    </row>
    <row r="9" spans="1:15" x14ac:dyDescent="0.25">
      <c r="A9" s="28" t="s">
        <v>15</v>
      </c>
      <c r="B9" s="28">
        <v>10</v>
      </c>
      <c r="C9" s="28" t="s">
        <v>240</v>
      </c>
      <c r="D9" s="28"/>
      <c r="E9" s="28"/>
      <c r="F9" s="28"/>
      <c r="G9" s="28"/>
      <c r="H9" s="28"/>
      <c r="I9" s="222"/>
      <c r="J9" s="28"/>
      <c r="K9" s="28"/>
      <c r="L9" s="28"/>
      <c r="M9" s="28"/>
      <c r="N9" s="28"/>
      <c r="O9" s="28"/>
    </row>
    <row r="10" spans="1:15" x14ac:dyDescent="0.25">
      <c r="A10" s="28" t="s">
        <v>16</v>
      </c>
      <c r="B10" s="31">
        <v>2000</v>
      </c>
      <c r="C10" s="28" t="s">
        <v>695</v>
      </c>
      <c r="D10" s="28"/>
      <c r="E10" s="28"/>
      <c r="F10" s="28"/>
      <c r="G10" s="28"/>
      <c r="H10" s="28"/>
      <c r="I10" s="222" t="s">
        <v>34</v>
      </c>
      <c r="L10" s="28" t="s">
        <v>34</v>
      </c>
      <c r="M10" s="28" t="s">
        <v>34</v>
      </c>
      <c r="N10" s="28" t="s">
        <v>34</v>
      </c>
      <c r="O10" s="28"/>
    </row>
    <row r="11" spans="1:15" x14ac:dyDescent="0.25">
      <c r="A11" s="28"/>
      <c r="B11" s="31" t="s">
        <v>661</v>
      </c>
      <c r="C11" s="28"/>
      <c r="D11" s="28"/>
      <c r="E11" s="28"/>
      <c r="F11" s="28"/>
      <c r="G11" s="28"/>
      <c r="H11" s="28"/>
      <c r="I11" s="222"/>
      <c r="J11" s="28"/>
      <c r="K11" s="28" t="s">
        <v>34</v>
      </c>
      <c r="L11" s="28"/>
      <c r="M11" s="28"/>
      <c r="N11" s="28"/>
      <c r="O11" s="28"/>
    </row>
    <row r="12" spans="1:15" x14ac:dyDescent="0.25">
      <c r="A12" s="28"/>
      <c r="B12" s="31">
        <v>65</v>
      </c>
      <c r="C12" s="28" t="s">
        <v>694</v>
      </c>
      <c r="D12" s="28"/>
      <c r="E12" s="28"/>
      <c r="F12" s="28"/>
      <c r="G12" s="28"/>
      <c r="H12" s="28"/>
      <c r="I12" s="222"/>
      <c r="J12" s="28"/>
      <c r="K12" s="28"/>
      <c r="L12" s="28"/>
      <c r="M12" s="28"/>
      <c r="N12" s="28"/>
      <c r="O12" s="28"/>
    </row>
    <row r="13" spans="1:15" x14ac:dyDescent="0.25">
      <c r="A13" s="28"/>
      <c r="B13" s="31">
        <v>8.25</v>
      </c>
      <c r="C13" s="28" t="s">
        <v>697</v>
      </c>
      <c r="D13" s="28"/>
      <c r="E13" s="28"/>
      <c r="F13" s="28"/>
      <c r="G13" s="28"/>
      <c r="H13" s="28"/>
      <c r="I13" s="230"/>
      <c r="J13" s="28"/>
      <c r="K13" s="28"/>
      <c r="L13" s="28"/>
      <c r="M13" s="28"/>
      <c r="N13" s="28"/>
      <c r="O13" s="28"/>
    </row>
    <row r="14" spans="1:15" x14ac:dyDescent="0.25">
      <c r="A14" s="28"/>
      <c r="B14" s="31">
        <v>200</v>
      </c>
      <c r="C14" s="87" t="s">
        <v>696</v>
      </c>
      <c r="D14" s="28"/>
      <c r="E14" s="28"/>
      <c r="F14" s="28"/>
      <c r="G14" s="28"/>
      <c r="H14" s="28"/>
      <c r="I14" s="230"/>
      <c r="J14" s="28"/>
      <c r="K14" s="28"/>
      <c r="L14" s="28"/>
      <c r="M14" s="28"/>
      <c r="N14" s="28"/>
      <c r="O14" s="28"/>
    </row>
    <row r="15" spans="1:15" x14ac:dyDescent="0.25">
      <c r="A15" s="28"/>
      <c r="B15" s="31">
        <v>0</v>
      </c>
      <c r="C15" s="87" t="s">
        <v>698</v>
      </c>
      <c r="D15" s="28"/>
      <c r="E15" s="28"/>
      <c r="F15" s="28"/>
      <c r="G15" s="28"/>
      <c r="H15" s="28"/>
      <c r="I15" s="230"/>
      <c r="J15" s="28"/>
      <c r="K15" s="28"/>
      <c r="L15" s="28"/>
      <c r="M15" s="28"/>
      <c r="N15" s="28"/>
      <c r="O15" s="28"/>
    </row>
    <row r="16" spans="1:15" x14ac:dyDescent="0.25">
      <c r="A16" s="28"/>
      <c r="B16" s="232">
        <f>(B12*B13/100*1000)/(B10+B12-B14+B15)*1000</f>
        <v>2875.3351206434313</v>
      </c>
      <c r="C16" s="28" t="s">
        <v>700</v>
      </c>
      <c r="D16" s="28"/>
      <c r="E16" s="28"/>
      <c r="F16" s="28"/>
      <c r="G16" s="28"/>
      <c r="H16" s="28"/>
      <c r="I16" s="230"/>
      <c r="J16" s="28"/>
      <c r="K16" s="28"/>
      <c r="L16" s="28"/>
      <c r="M16" s="28"/>
      <c r="N16" s="28"/>
      <c r="O16" s="28"/>
    </row>
    <row r="17" spans="1:21" ht="15.75" thickBot="1" x14ac:dyDescent="0.3">
      <c r="A17" s="28"/>
      <c r="B17" s="28" t="s">
        <v>647</v>
      </c>
      <c r="C17" s="28"/>
      <c r="D17" s="28"/>
      <c r="E17" s="28"/>
      <c r="F17" s="28"/>
      <c r="G17" s="28"/>
      <c r="H17" s="28"/>
      <c r="I17" s="222"/>
      <c r="J17" s="28"/>
      <c r="K17" s="28"/>
      <c r="L17" s="28"/>
      <c r="M17" s="28"/>
      <c r="N17" s="28"/>
      <c r="O17" s="28"/>
    </row>
    <row r="18" spans="1:21" ht="54.75" customHeight="1"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21" ht="15.75" thickBot="1" x14ac:dyDescent="0.3">
      <c r="A19" s="32">
        <v>0</v>
      </c>
      <c r="B19" s="51">
        <v>5</v>
      </c>
      <c r="C19" s="23">
        <v>8.11</v>
      </c>
      <c r="D19" s="23">
        <v>8.2200000000000006</v>
      </c>
      <c r="E19" s="23">
        <v>0.56999999999999995</v>
      </c>
      <c r="F19" s="23">
        <v>0.22</v>
      </c>
      <c r="G19" s="23">
        <v>211</v>
      </c>
      <c r="H19" s="23">
        <v>384</v>
      </c>
      <c r="I19" s="33">
        <v>56000000</v>
      </c>
      <c r="J19" s="50">
        <f t="shared" ref="J19:J25" si="0">LOG(I$19)-LOG(I19)</f>
        <v>0</v>
      </c>
      <c r="K19" s="33" t="s">
        <v>35</v>
      </c>
      <c r="L19" s="23" t="s">
        <v>26</v>
      </c>
      <c r="M19" s="23" t="s">
        <v>26</v>
      </c>
      <c r="N19" s="23" t="s">
        <v>26</v>
      </c>
      <c r="O19" s="23" t="s">
        <v>26</v>
      </c>
      <c r="P19" s="233">
        <f>B$16*A19</f>
        <v>0</v>
      </c>
      <c r="Q19" s="233">
        <f>6/LINEST(J19:J25,P19:P25,FALSE)</f>
        <v>300184.24079402257</v>
      </c>
      <c r="R19" s="233">
        <f>Q19/3000</f>
        <v>100.06141359800752</v>
      </c>
      <c r="S19" s="233">
        <f>(J28/LINEST($J19:$J25,$P19:$P25,FALSE))/$B$16</f>
        <v>133.97966713046034</v>
      </c>
    </row>
    <row r="20" spans="1:21" ht="15.75" thickBot="1" x14ac:dyDescent="0.3">
      <c r="A20" s="32">
        <v>5</v>
      </c>
      <c r="B20" s="125">
        <v>4.5</v>
      </c>
      <c r="C20" s="24">
        <v>10.210000000000001</v>
      </c>
      <c r="D20" s="24">
        <v>11.35</v>
      </c>
      <c r="E20" s="24">
        <v>8000</v>
      </c>
      <c r="F20" s="24">
        <v>0.61</v>
      </c>
      <c r="G20" s="24">
        <v>206</v>
      </c>
      <c r="H20" s="23" t="s">
        <v>26</v>
      </c>
      <c r="I20" s="33">
        <v>64000000</v>
      </c>
      <c r="J20" s="50">
        <f t="shared" si="0"/>
        <v>-5.7991946977686837E-2</v>
      </c>
      <c r="K20" s="33" t="s">
        <v>35</v>
      </c>
      <c r="L20" s="23" t="s">
        <v>26</v>
      </c>
      <c r="M20" s="23" t="s">
        <v>26</v>
      </c>
      <c r="N20" s="23" t="s">
        <v>26</v>
      </c>
      <c r="O20" s="23" t="s">
        <v>26</v>
      </c>
      <c r="P20" s="233">
        <f>B$16*A20</f>
        <v>14376.675603217156</v>
      </c>
      <c r="Q20" s="228"/>
    </row>
    <row r="21" spans="1:21" ht="15.75" thickBot="1" x14ac:dyDescent="0.3">
      <c r="A21" s="32">
        <v>10</v>
      </c>
      <c r="B21" s="125">
        <v>4</v>
      </c>
      <c r="C21" s="24">
        <v>10.210000000000001</v>
      </c>
      <c r="D21" s="24">
        <v>11.41</v>
      </c>
      <c r="E21" s="24">
        <v>6000</v>
      </c>
      <c r="F21" s="24">
        <v>0.73</v>
      </c>
      <c r="G21" s="24">
        <v>280</v>
      </c>
      <c r="H21" s="23" t="s">
        <v>26</v>
      </c>
      <c r="I21" s="33">
        <v>44000000</v>
      </c>
      <c r="J21" s="50">
        <f t="shared" si="0"/>
        <v>0.10473535052001282</v>
      </c>
      <c r="K21" s="33" t="s">
        <v>35</v>
      </c>
      <c r="L21" s="23" t="s">
        <v>26</v>
      </c>
      <c r="M21" s="23" t="s">
        <v>26</v>
      </c>
      <c r="N21" s="23" t="s">
        <v>26</v>
      </c>
      <c r="O21" s="23" t="s">
        <v>26</v>
      </c>
      <c r="P21" s="233">
        <f t="shared" ref="P21:P26" si="1">B$16*A21</f>
        <v>28753.351206434312</v>
      </c>
      <c r="Q21" s="228"/>
    </row>
    <row r="22" spans="1:21" ht="15.75" thickBot="1" x14ac:dyDescent="0.3">
      <c r="A22" s="32">
        <v>20</v>
      </c>
      <c r="B22" s="125">
        <v>3.6</v>
      </c>
      <c r="C22" s="24">
        <v>10.19</v>
      </c>
      <c r="D22" s="24">
        <v>11.49</v>
      </c>
      <c r="E22" s="24">
        <v>9000</v>
      </c>
      <c r="F22" s="24">
        <v>0.56999999999999995</v>
      </c>
      <c r="G22" s="24">
        <v>208</v>
      </c>
      <c r="H22" s="23" t="s">
        <v>26</v>
      </c>
      <c r="I22" s="33">
        <v>27000000</v>
      </c>
      <c r="J22" s="50">
        <f t="shared" si="0"/>
        <v>0.31682426284721377</v>
      </c>
      <c r="K22" s="33" t="s">
        <v>35</v>
      </c>
      <c r="L22" s="23" t="s">
        <v>26</v>
      </c>
      <c r="M22" s="23" t="s">
        <v>26</v>
      </c>
      <c r="N22" s="23" t="s">
        <v>26</v>
      </c>
      <c r="O22" s="23" t="s">
        <v>26</v>
      </c>
      <c r="P22" s="233">
        <f t="shared" si="1"/>
        <v>57506.702412868624</v>
      </c>
      <c r="Q22" s="228"/>
    </row>
    <row r="23" spans="1:21" ht="15.75" thickBot="1" x14ac:dyDescent="0.3">
      <c r="A23" s="32">
        <v>30</v>
      </c>
      <c r="B23" s="125">
        <v>3.8</v>
      </c>
      <c r="C23" s="24">
        <v>10.17</v>
      </c>
      <c r="D23" s="24">
        <v>11.39</v>
      </c>
      <c r="E23" s="24">
        <v>6000</v>
      </c>
      <c r="F23" s="24">
        <v>0.42</v>
      </c>
      <c r="G23" s="24">
        <v>209</v>
      </c>
      <c r="H23" s="23" t="s">
        <v>26</v>
      </c>
      <c r="I23" s="33">
        <v>6700000</v>
      </c>
      <c r="J23" s="50">
        <f t="shared" si="0"/>
        <v>0.92211322430537468</v>
      </c>
      <c r="K23" s="33" t="s">
        <v>35</v>
      </c>
      <c r="L23" s="23" t="s">
        <v>26</v>
      </c>
      <c r="M23" s="23" t="s">
        <v>26</v>
      </c>
      <c r="N23" s="23" t="s">
        <v>26</v>
      </c>
      <c r="O23" s="23" t="s">
        <v>26</v>
      </c>
      <c r="P23" s="233">
        <f t="shared" si="1"/>
        <v>86260.05361930294</v>
      </c>
      <c r="Q23" s="228"/>
    </row>
    <row r="24" spans="1:21" ht="15.75" thickBot="1" x14ac:dyDescent="0.3">
      <c r="A24" s="32">
        <v>60</v>
      </c>
      <c r="B24" s="125">
        <v>3.9</v>
      </c>
      <c r="C24" s="50">
        <v>10.1</v>
      </c>
      <c r="D24" s="24">
        <v>11.51</v>
      </c>
      <c r="E24" s="24">
        <v>8000</v>
      </c>
      <c r="F24" s="58">
        <v>0.64</v>
      </c>
      <c r="G24" s="24">
        <v>198</v>
      </c>
      <c r="H24" s="23" t="s">
        <v>26</v>
      </c>
      <c r="I24" s="33">
        <v>6600</v>
      </c>
      <c r="J24" s="50">
        <f t="shared" si="0"/>
        <v>3.9286440914643319</v>
      </c>
      <c r="K24" s="33" t="s">
        <v>35</v>
      </c>
      <c r="L24" s="23" t="s">
        <v>26</v>
      </c>
      <c r="M24" s="23" t="s">
        <v>26</v>
      </c>
      <c r="N24" s="23" t="s">
        <v>26</v>
      </c>
      <c r="O24" s="23" t="s">
        <v>26</v>
      </c>
      <c r="P24" s="233">
        <f t="shared" si="1"/>
        <v>172520.10723860588</v>
      </c>
      <c r="Q24" s="228"/>
    </row>
    <row r="25" spans="1:21" ht="15.75" thickBot="1" x14ac:dyDescent="0.3">
      <c r="A25" s="32">
        <v>120</v>
      </c>
      <c r="B25" s="125">
        <v>4.2</v>
      </c>
      <c r="C25" s="24">
        <v>10.029999999999999</v>
      </c>
      <c r="D25" s="24">
        <v>11.58</v>
      </c>
      <c r="E25" s="24">
        <v>9000</v>
      </c>
      <c r="F25" s="100">
        <v>0.6</v>
      </c>
      <c r="G25" s="24">
        <v>168</v>
      </c>
      <c r="H25" s="23" t="s">
        <v>26</v>
      </c>
      <c r="I25" s="33">
        <v>5</v>
      </c>
      <c r="J25" s="50">
        <f t="shared" si="0"/>
        <v>7.0492180226701819</v>
      </c>
      <c r="K25" s="33" t="s">
        <v>35</v>
      </c>
      <c r="L25" s="23" t="s">
        <v>26</v>
      </c>
      <c r="M25" s="23" t="s">
        <v>26</v>
      </c>
      <c r="N25" s="23" t="s">
        <v>26</v>
      </c>
      <c r="O25" s="23" t="s">
        <v>26</v>
      </c>
      <c r="P25" s="233">
        <f t="shared" si="1"/>
        <v>345040.21447721176</v>
      </c>
      <c r="Q25" s="228"/>
    </row>
    <row r="26" spans="1:21" ht="15.75" thickBot="1" x14ac:dyDescent="0.3">
      <c r="A26" s="32">
        <v>180</v>
      </c>
      <c r="B26" s="125">
        <v>4.5</v>
      </c>
      <c r="C26" s="24">
        <v>9.9700000000000006</v>
      </c>
      <c r="D26" s="50">
        <v>11.7</v>
      </c>
      <c r="E26" s="24">
        <v>6000</v>
      </c>
      <c r="F26" s="58">
        <v>0.38</v>
      </c>
      <c r="G26" s="24">
        <v>264</v>
      </c>
      <c r="H26" s="23" t="s">
        <v>26</v>
      </c>
      <c r="I26" s="33">
        <v>0</v>
      </c>
      <c r="J26" s="24" t="s">
        <v>639</v>
      </c>
      <c r="K26" s="33" t="s">
        <v>35</v>
      </c>
      <c r="L26" s="23" t="s">
        <v>26</v>
      </c>
      <c r="M26" s="23" t="s">
        <v>26</v>
      </c>
      <c r="N26" s="23" t="s">
        <v>26</v>
      </c>
      <c r="O26" s="23" t="s">
        <v>26</v>
      </c>
      <c r="P26" s="233">
        <f t="shared" si="1"/>
        <v>517560.32171581761</v>
      </c>
      <c r="Q26" s="228"/>
    </row>
    <row r="27" spans="1:21" ht="15.75" thickBot="1" x14ac:dyDescent="0.3">
      <c r="A27" s="32">
        <v>240</v>
      </c>
      <c r="B27" s="125">
        <v>4.5</v>
      </c>
      <c r="C27" s="24">
        <v>9.9700000000000006</v>
      </c>
      <c r="D27" s="24">
        <v>12.13</v>
      </c>
      <c r="E27" s="24">
        <v>3000</v>
      </c>
      <c r="F27" s="58">
        <v>0.59</v>
      </c>
      <c r="G27" s="24">
        <v>275</v>
      </c>
      <c r="H27" s="24">
        <v>106</v>
      </c>
      <c r="I27" s="33">
        <v>0</v>
      </c>
      <c r="J27" s="24" t="s">
        <v>639</v>
      </c>
      <c r="K27" s="33" t="s">
        <v>35</v>
      </c>
      <c r="L27" s="23" t="s">
        <v>26</v>
      </c>
      <c r="M27" s="36">
        <v>95.2</v>
      </c>
      <c r="N27" s="36">
        <v>5191.2</v>
      </c>
      <c r="O27" s="27">
        <v>1600</v>
      </c>
      <c r="P27" s="220"/>
    </row>
    <row r="28" spans="1:21" x14ac:dyDescent="0.25">
      <c r="B28" s="108">
        <v>10.210000000000001</v>
      </c>
      <c r="C28">
        <f>AVERAGE(C20:C25)</f>
        <v>10.151666666666667</v>
      </c>
      <c r="E28" s="155">
        <f>AVERAGE(E19:E26)</f>
        <v>6500.07125</v>
      </c>
      <c r="F28" s="155">
        <f>_xlfn.STDEV.P(E19:E26)</f>
        <v>2738.4436794529734</v>
      </c>
      <c r="J28">
        <v>7.7</v>
      </c>
      <c r="N28" s="28"/>
      <c r="O28" s="28"/>
    </row>
    <row r="29" spans="1:21" x14ac:dyDescent="0.25">
      <c r="A29" s="28" t="s">
        <v>140</v>
      </c>
      <c r="B29" s="28"/>
      <c r="C29" s="28"/>
      <c r="D29" s="28"/>
      <c r="E29" s="28"/>
      <c r="F29" s="28"/>
      <c r="G29" s="28"/>
      <c r="H29" s="28"/>
      <c r="I29" s="222"/>
      <c r="J29" s="28"/>
      <c r="K29" s="28"/>
      <c r="L29" s="28"/>
      <c r="M29" s="28"/>
      <c r="N29" s="28"/>
      <c r="O29" s="28"/>
      <c r="U29" t="s">
        <v>34</v>
      </c>
    </row>
    <row r="30" spans="1:21" x14ac:dyDescent="0.25">
      <c r="A30" s="28"/>
      <c r="B30" s="28" t="s">
        <v>141</v>
      </c>
      <c r="C30" s="28"/>
      <c r="D30" s="28"/>
      <c r="E30" s="28"/>
      <c r="F30" s="28"/>
      <c r="G30" s="28"/>
      <c r="H30" s="28"/>
      <c r="I30" s="222"/>
      <c r="J30" s="28"/>
      <c r="K30" s="28"/>
      <c r="L30" s="28"/>
      <c r="M30" s="28"/>
      <c r="N30" s="28" t="s">
        <v>34</v>
      </c>
      <c r="O30" s="28"/>
    </row>
    <row r="31" spans="1:21" x14ac:dyDescent="0.25">
      <c r="A31" s="28" t="s">
        <v>264</v>
      </c>
      <c r="B31" s="28"/>
      <c r="C31" s="28"/>
      <c r="D31" s="28"/>
      <c r="E31" s="28"/>
      <c r="F31" s="28"/>
      <c r="G31" s="28"/>
      <c r="H31" s="28"/>
      <c r="I31" s="222"/>
      <c r="J31" s="28" t="s">
        <v>34</v>
      </c>
      <c r="K31" s="28"/>
      <c r="L31" s="28" t="s">
        <v>34</v>
      </c>
      <c r="M31" s="28"/>
      <c r="N31" s="28"/>
      <c r="O31" s="28"/>
      <c r="R31" s="224"/>
    </row>
    <row r="32" spans="1:21" x14ac:dyDescent="0.25">
      <c r="A32" s="59"/>
      <c r="F32" s="28"/>
      <c r="G32" s="28"/>
      <c r="H32" s="28"/>
      <c r="I32" s="222"/>
      <c r="J32" s="28"/>
      <c r="K32" s="28"/>
      <c r="L32" s="28" t="s">
        <v>34</v>
      </c>
      <c r="M32" s="28" t="s">
        <v>34</v>
      </c>
      <c r="N32" s="28"/>
      <c r="O32" s="28"/>
    </row>
    <row r="33" spans="1:15" x14ac:dyDescent="0.25">
      <c r="A33" s="19" t="s">
        <v>28</v>
      </c>
      <c r="B33" s="28"/>
      <c r="C33" s="28"/>
      <c r="D33" s="28"/>
      <c r="E33" s="28"/>
      <c r="F33" s="28"/>
      <c r="G33" s="28"/>
      <c r="H33" s="28"/>
      <c r="I33" s="222"/>
      <c r="J33" s="28"/>
      <c r="K33" s="28" t="s">
        <v>34</v>
      </c>
      <c r="L33" s="28"/>
      <c r="M33" s="28" t="s">
        <v>34</v>
      </c>
      <c r="N33" s="28"/>
      <c r="O33" s="28"/>
    </row>
    <row r="34" spans="1:15" x14ac:dyDescent="0.25">
      <c r="A34" s="28"/>
      <c r="B34" s="22"/>
      <c r="C34" s="28"/>
      <c r="D34" s="28"/>
      <c r="E34" s="28"/>
      <c r="F34" s="28"/>
      <c r="G34" s="28"/>
      <c r="H34" s="28"/>
      <c r="I34" s="222"/>
      <c r="J34" s="28"/>
      <c r="K34" s="28"/>
      <c r="L34" s="28" t="s">
        <v>34</v>
      </c>
      <c r="M34" s="28" t="s">
        <v>34</v>
      </c>
      <c r="N34" s="28"/>
      <c r="O34" s="28"/>
    </row>
    <row r="35" spans="1:15" x14ac:dyDescent="0.25">
      <c r="A35" s="28"/>
      <c r="B35" s="189"/>
      <c r="C35" s="189"/>
      <c r="D35" s="189"/>
      <c r="E35" s="28"/>
      <c r="F35" s="189"/>
      <c r="G35" s="189"/>
      <c r="H35" s="189"/>
      <c r="I35" s="189"/>
      <c r="J35" s="189"/>
      <c r="K35" s="189"/>
      <c r="L35" s="189" t="s">
        <v>34</v>
      </c>
      <c r="M35" s="28"/>
      <c r="N35" s="28"/>
      <c r="O35" s="28"/>
    </row>
    <row r="36" spans="1:15" x14ac:dyDescent="0.25">
      <c r="A36" s="28"/>
      <c r="B36" s="189"/>
      <c r="C36" s="189"/>
      <c r="D36" s="189"/>
      <c r="E36" s="189"/>
      <c r="F36" s="189"/>
      <c r="G36" s="189"/>
      <c r="H36" s="189"/>
      <c r="I36" s="189"/>
      <c r="J36" s="189"/>
      <c r="K36" s="189"/>
      <c r="L36" s="189"/>
      <c r="M36" s="28"/>
      <c r="N36" s="28"/>
      <c r="O36" s="28"/>
    </row>
    <row r="37" spans="1:15" x14ac:dyDescent="0.25">
      <c r="A37" s="28"/>
      <c r="B37" s="22"/>
      <c r="C37" s="28"/>
      <c r="D37" s="28"/>
      <c r="E37" s="28"/>
      <c r="F37" s="28"/>
      <c r="G37" s="28"/>
      <c r="H37" s="28"/>
      <c r="I37" s="222"/>
      <c r="J37" s="28"/>
      <c r="K37" s="28"/>
      <c r="L37" s="28"/>
      <c r="M37" s="28" t="s">
        <v>34</v>
      </c>
      <c r="N37" s="28"/>
      <c r="O37" s="28"/>
    </row>
    <row r="38" spans="1:15" x14ac:dyDescent="0.25">
      <c r="A38" s="28"/>
      <c r="B38" s="189"/>
      <c r="C38" s="189"/>
      <c r="D38" s="189"/>
      <c r="E38" s="189"/>
      <c r="F38" s="189"/>
      <c r="G38" s="189"/>
      <c r="H38" s="189"/>
      <c r="I38" s="189"/>
      <c r="J38" s="189"/>
      <c r="K38" s="189"/>
      <c r="M38" s="28"/>
      <c r="N38" s="28"/>
      <c r="O38" s="28"/>
    </row>
    <row r="39" spans="1:15" x14ac:dyDescent="0.25">
      <c r="A39" s="28"/>
      <c r="B39" s="189"/>
      <c r="C39" s="189"/>
      <c r="D39" s="189"/>
      <c r="E39" s="189"/>
      <c r="F39" s="189"/>
      <c r="G39" s="189"/>
      <c r="H39" s="189"/>
      <c r="I39" s="189"/>
      <c r="J39" s="189"/>
      <c r="K39" s="189"/>
      <c r="M39" s="28"/>
      <c r="N39" s="28"/>
      <c r="O39" s="28"/>
    </row>
    <row r="40" spans="1:15" x14ac:dyDescent="0.25">
      <c r="A40" s="28"/>
      <c r="B40" s="69"/>
      <c r="C40" s="87"/>
      <c r="D40" s="87"/>
      <c r="E40" s="87"/>
      <c r="F40" s="87"/>
      <c r="G40" s="87"/>
      <c r="H40" s="87"/>
      <c r="I40" s="88"/>
      <c r="J40" s="87"/>
      <c r="K40" s="87"/>
      <c r="L40" s="28"/>
      <c r="M40" s="28"/>
      <c r="N40" s="28"/>
      <c r="O40" s="28"/>
    </row>
    <row r="41" spans="1:15" x14ac:dyDescent="0.25">
      <c r="A41" s="28"/>
      <c r="B41" s="75"/>
      <c r="C41" s="28"/>
      <c r="D41" s="28"/>
      <c r="E41" s="28"/>
      <c r="F41" s="28"/>
      <c r="G41" s="28"/>
      <c r="H41" s="28"/>
      <c r="I41" s="222"/>
      <c r="J41" s="28"/>
      <c r="K41" s="28"/>
      <c r="N41" s="28"/>
      <c r="O41" s="28"/>
    </row>
    <row r="42" spans="1:15" x14ac:dyDescent="0.25">
      <c r="A42" s="28"/>
      <c r="B42" s="22"/>
      <c r="L42" s="28"/>
      <c r="N42" s="28"/>
      <c r="O42" s="28"/>
    </row>
    <row r="43" spans="1:15" x14ac:dyDescent="0.25">
      <c r="A43" s="28"/>
      <c r="B43" s="22"/>
      <c r="L43" s="28"/>
      <c r="N43" s="28"/>
      <c r="O43" s="28" t="s">
        <v>34</v>
      </c>
    </row>
    <row r="44" spans="1:15" x14ac:dyDescent="0.25">
      <c r="A44" s="28"/>
      <c r="B44" s="22"/>
      <c r="L44" s="28"/>
      <c r="M44" s="28"/>
      <c r="N44" s="28"/>
      <c r="O44" s="28"/>
    </row>
    <row r="45" spans="1:15" x14ac:dyDescent="0.25">
      <c r="B45" s="189"/>
      <c r="C45" s="64"/>
      <c r="D45" s="64"/>
      <c r="E45" s="64"/>
      <c r="F45" s="64"/>
      <c r="G45" s="64"/>
      <c r="H45" s="64"/>
      <c r="I45" s="64"/>
      <c r="J45" s="64"/>
      <c r="K45" s="64"/>
      <c r="L45" s="65"/>
      <c r="M45" s="28"/>
      <c r="N45" s="28"/>
      <c r="O45" s="28"/>
    </row>
    <row r="46" spans="1:15" x14ac:dyDescent="0.25">
      <c r="B46" s="189"/>
    </row>
    <row r="47" spans="1:15" x14ac:dyDescent="0.25">
      <c r="B47" s="22"/>
      <c r="C47" s="28"/>
      <c r="D47" s="28"/>
      <c r="E47" s="28"/>
      <c r="F47" s="28"/>
      <c r="G47" s="28"/>
      <c r="H47" s="28"/>
      <c r="I47" s="222"/>
      <c r="J47" s="28"/>
    </row>
    <row r="48" spans="1:15" x14ac:dyDescent="0.25">
      <c r="B48" s="189"/>
      <c r="C48" s="64"/>
      <c r="D48" s="64"/>
      <c r="E48" s="64"/>
      <c r="F48" s="64"/>
      <c r="G48" s="64"/>
      <c r="H48" s="64"/>
      <c r="I48" s="64"/>
      <c r="J48" s="64"/>
      <c r="K48" s="64"/>
      <c r="L48" s="65"/>
      <c r="O48" t="s">
        <v>34</v>
      </c>
    </row>
    <row r="49" spans="2:14" x14ac:dyDescent="0.25">
      <c r="B49" s="189"/>
      <c r="C49" s="189"/>
      <c r="D49" s="189"/>
      <c r="E49" s="189"/>
      <c r="F49" s="189"/>
      <c r="G49" s="189"/>
      <c r="H49" s="189"/>
      <c r="I49" s="189"/>
      <c r="J49" s="189"/>
      <c r="K49" s="189"/>
      <c r="N49" t="s">
        <v>34</v>
      </c>
    </row>
    <row r="50" spans="2:14" x14ac:dyDescent="0.25">
      <c r="B50" s="189"/>
      <c r="C50" s="189"/>
      <c r="D50" s="189"/>
      <c r="E50" s="189"/>
      <c r="F50" s="189"/>
      <c r="G50" s="189"/>
      <c r="H50" s="189"/>
      <c r="I50" s="189"/>
      <c r="J50" s="189"/>
      <c r="K50" s="189"/>
    </row>
    <row r="51" spans="2:14" x14ac:dyDescent="0.25">
      <c r="B51" s="22"/>
      <c r="C51" s="28"/>
      <c r="D51" s="28"/>
      <c r="E51" s="28"/>
      <c r="F51" s="28"/>
      <c r="G51" s="28"/>
      <c r="H51" s="222"/>
      <c r="I51" s="28"/>
      <c r="J51" s="189"/>
      <c r="K51" s="28"/>
    </row>
    <row r="52" spans="2:14" x14ac:dyDescent="0.25">
      <c r="N52" t="s">
        <v>34</v>
      </c>
    </row>
  </sheetData>
  <pageMargins left="0.7" right="0.7" top="0.75" bottom="0.75" header="0.3" footer="0.3"/>
  <pageSetup scale="57" orientation="landscape" verticalDpi="597" r:id="rId1"/>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CC"/>
  </sheetPr>
  <dimension ref="A1:R30"/>
  <sheetViews>
    <sheetView workbookViewId="0"/>
  </sheetViews>
  <sheetFormatPr defaultRowHeight="15" x14ac:dyDescent="0.25"/>
  <cols>
    <col min="2" max="2" width="10" customWidth="1"/>
    <col min="9" max="9" width="10.28515625" bestFit="1" customWidth="1"/>
    <col min="11" max="11" width="8.42578125" bestFit="1" customWidth="1"/>
  </cols>
  <sheetData>
    <row r="1" spans="1:18" x14ac:dyDescent="0.25">
      <c r="A1" s="7" t="s">
        <v>12</v>
      </c>
      <c r="B1" s="28"/>
      <c r="C1" s="28"/>
      <c r="D1" s="28"/>
      <c r="E1" s="28"/>
      <c r="F1" s="28"/>
      <c r="G1" s="28"/>
      <c r="H1" s="28"/>
      <c r="I1" s="404"/>
      <c r="J1" s="28"/>
      <c r="K1" s="28"/>
      <c r="L1" s="28"/>
      <c r="M1" s="28"/>
      <c r="N1" s="28"/>
      <c r="O1" s="28"/>
    </row>
    <row r="2" spans="1:18" x14ac:dyDescent="0.25">
      <c r="A2" s="30" t="s">
        <v>13</v>
      </c>
      <c r="B2" s="30">
        <v>42061</v>
      </c>
    </row>
    <row r="3" spans="1:18" x14ac:dyDescent="0.25">
      <c r="A3" s="28" t="s">
        <v>14</v>
      </c>
      <c r="B3" s="28">
        <v>21</v>
      </c>
      <c r="C3" s="28" t="s">
        <v>663</v>
      </c>
      <c r="D3" s="28"/>
      <c r="E3" s="28"/>
      <c r="F3" s="28"/>
      <c r="G3" s="28"/>
      <c r="H3" s="28"/>
      <c r="I3" s="404"/>
      <c r="J3" s="28"/>
      <c r="K3" s="28" t="s">
        <v>34</v>
      </c>
      <c r="L3" s="28" t="s">
        <v>34</v>
      </c>
      <c r="M3" s="28"/>
      <c r="N3" s="28"/>
      <c r="O3" s="28"/>
    </row>
    <row r="4" spans="1:18" x14ac:dyDescent="0.25">
      <c r="A4" s="28" t="s">
        <v>15</v>
      </c>
      <c r="B4" s="28">
        <v>10</v>
      </c>
      <c r="C4" s="28" t="s">
        <v>240</v>
      </c>
      <c r="D4" s="28"/>
      <c r="E4" s="28"/>
      <c r="F4" s="28"/>
      <c r="G4" s="28"/>
      <c r="H4" s="28"/>
      <c r="I4" s="404"/>
      <c r="J4" s="28"/>
      <c r="K4" s="28"/>
      <c r="L4" s="28"/>
      <c r="M4" s="28"/>
      <c r="N4" s="28"/>
      <c r="O4" s="28"/>
    </row>
    <row r="5" spans="1:18" x14ac:dyDescent="0.25">
      <c r="A5" s="28" t="s">
        <v>16</v>
      </c>
      <c r="B5" s="31">
        <v>2000</v>
      </c>
      <c r="C5" s="28" t="s">
        <v>695</v>
      </c>
      <c r="D5" s="28"/>
      <c r="E5" s="28"/>
      <c r="F5" s="28"/>
      <c r="G5" s="28"/>
      <c r="H5" s="28"/>
      <c r="I5" s="404" t="s">
        <v>34</v>
      </c>
      <c r="J5" s="28" t="s">
        <v>34</v>
      </c>
      <c r="K5" s="28" t="s">
        <v>34</v>
      </c>
      <c r="L5" s="28" t="s">
        <v>34</v>
      </c>
      <c r="M5" s="28" t="s">
        <v>34</v>
      </c>
      <c r="N5" s="28" t="s">
        <v>34</v>
      </c>
      <c r="O5" s="28"/>
    </row>
    <row r="6" spans="1:18" x14ac:dyDescent="0.25">
      <c r="A6" s="28"/>
      <c r="B6" s="31" t="s">
        <v>661</v>
      </c>
      <c r="C6" s="28"/>
      <c r="D6" s="28"/>
      <c r="E6" s="28"/>
      <c r="F6" s="28"/>
      <c r="G6" s="28"/>
      <c r="H6" s="28"/>
      <c r="I6" s="404"/>
      <c r="J6" s="28"/>
      <c r="K6" s="28" t="s">
        <v>34</v>
      </c>
      <c r="L6" s="28"/>
      <c r="M6" s="28"/>
      <c r="N6" s="28"/>
      <c r="O6" s="28"/>
    </row>
    <row r="7" spans="1:18" x14ac:dyDescent="0.25">
      <c r="A7" s="28"/>
      <c r="B7" s="31">
        <v>65</v>
      </c>
      <c r="C7" s="28" t="s">
        <v>694</v>
      </c>
      <c r="D7" s="28"/>
      <c r="E7" s="28"/>
      <c r="F7" s="28"/>
      <c r="G7" s="28"/>
      <c r="H7" s="28"/>
      <c r="I7" s="404"/>
      <c r="J7" s="28"/>
      <c r="K7" s="28"/>
      <c r="L7" s="28"/>
      <c r="M7" s="28"/>
      <c r="N7" s="28"/>
      <c r="O7" s="28"/>
    </row>
    <row r="8" spans="1:18" x14ac:dyDescent="0.25">
      <c r="A8" s="28"/>
      <c r="B8" s="31">
        <v>8.25</v>
      </c>
      <c r="C8" s="28" t="s">
        <v>697</v>
      </c>
      <c r="D8" s="28"/>
      <c r="E8" s="28"/>
      <c r="F8" s="28"/>
      <c r="G8" s="28"/>
      <c r="H8" s="28"/>
      <c r="I8" s="404"/>
      <c r="J8" s="28"/>
      <c r="K8" s="28"/>
      <c r="L8" s="28"/>
      <c r="M8" s="28"/>
      <c r="N8" s="28"/>
      <c r="O8" s="28"/>
    </row>
    <row r="9" spans="1:18" x14ac:dyDescent="0.25">
      <c r="A9" s="28"/>
      <c r="B9" s="31">
        <v>200</v>
      </c>
      <c r="C9" s="87" t="s">
        <v>696</v>
      </c>
      <c r="D9" s="28"/>
      <c r="E9" s="28"/>
      <c r="F9" s="28"/>
      <c r="G9" s="28"/>
      <c r="H9" s="28"/>
      <c r="I9" s="404"/>
      <c r="J9" s="28"/>
      <c r="K9" s="28"/>
      <c r="L9" s="28"/>
      <c r="M9" s="28"/>
      <c r="N9" s="28"/>
      <c r="O9" s="28"/>
    </row>
    <row r="10" spans="1:18" x14ac:dyDescent="0.25">
      <c r="A10" s="28"/>
      <c r="B10" s="31">
        <v>25</v>
      </c>
      <c r="C10" s="87" t="s">
        <v>698</v>
      </c>
      <c r="D10" s="28"/>
      <c r="E10" s="28"/>
      <c r="F10" s="28"/>
      <c r="G10" s="28"/>
      <c r="H10" s="28"/>
      <c r="I10" s="404"/>
      <c r="J10" s="28"/>
      <c r="K10" s="28"/>
      <c r="L10" s="28"/>
      <c r="M10" s="28"/>
      <c r="N10" s="28"/>
      <c r="O10" s="28"/>
    </row>
    <row r="11" spans="1:18" x14ac:dyDescent="0.25">
      <c r="A11" s="28"/>
      <c r="B11" s="232">
        <f>(B7*B8/100*1000)/(B5+65-B9+B10)*1000</f>
        <v>2837.3015873015875</v>
      </c>
      <c r="C11" s="28" t="s">
        <v>700</v>
      </c>
      <c r="D11" s="28"/>
      <c r="E11" s="28"/>
      <c r="F11" s="28"/>
      <c r="G11" s="28"/>
      <c r="H11" s="28"/>
      <c r="I11" s="404"/>
      <c r="J11" s="31" t="s">
        <v>662</v>
      </c>
      <c r="K11" s="28"/>
      <c r="L11" s="28"/>
      <c r="M11" s="28"/>
      <c r="N11" s="28"/>
      <c r="O11" s="28"/>
    </row>
    <row r="12" spans="1:18" ht="16.5" thickBot="1" x14ac:dyDescent="0.35">
      <c r="A12" s="28"/>
      <c r="B12" s="28" t="s">
        <v>664</v>
      </c>
      <c r="C12" s="28"/>
      <c r="D12" s="28"/>
      <c r="E12" s="28"/>
      <c r="F12" s="28"/>
      <c r="G12" s="28"/>
      <c r="H12" s="28"/>
      <c r="I12" s="404"/>
      <c r="J12" s="28"/>
      <c r="K12" s="28"/>
      <c r="L12" s="28"/>
      <c r="M12" s="28"/>
      <c r="N12" s="28"/>
      <c r="O12" s="28"/>
    </row>
    <row r="13" spans="1:18" ht="77.25" thickBot="1" x14ac:dyDescent="0.3">
      <c r="A13" s="10" t="s">
        <v>29</v>
      </c>
      <c r="B13" s="11" t="s">
        <v>17</v>
      </c>
      <c r="C13" s="11" t="s">
        <v>30</v>
      </c>
      <c r="D13" s="11" t="s">
        <v>31</v>
      </c>
      <c r="E13" s="11" t="s">
        <v>32</v>
      </c>
      <c r="F13" s="11" t="s">
        <v>33</v>
      </c>
      <c r="G13" s="11" t="s">
        <v>202</v>
      </c>
      <c r="H13" s="11" t="s">
        <v>19</v>
      </c>
      <c r="I13" s="12" t="s">
        <v>610</v>
      </c>
      <c r="J13" s="11" t="s">
        <v>21</v>
      </c>
      <c r="K13" s="13" t="s">
        <v>611</v>
      </c>
      <c r="L13" s="11" t="s">
        <v>21</v>
      </c>
      <c r="M13" s="14" t="s">
        <v>23</v>
      </c>
      <c r="N13" s="14" t="s">
        <v>24</v>
      </c>
      <c r="O13" s="14" t="s">
        <v>25</v>
      </c>
      <c r="P13" s="14" t="s">
        <v>678</v>
      </c>
      <c r="Q13" s="14" t="s">
        <v>681</v>
      </c>
      <c r="R13" s="14" t="s">
        <v>699</v>
      </c>
    </row>
    <row r="14" spans="1:18" ht="15.75" thickBot="1" x14ac:dyDescent="0.3">
      <c r="A14" s="32">
        <v>0</v>
      </c>
      <c r="B14" s="51">
        <v>5</v>
      </c>
      <c r="C14" s="23">
        <v>7.61</v>
      </c>
      <c r="D14" s="23">
        <v>5.34</v>
      </c>
      <c r="E14" s="23">
        <v>1.1299999999999999</v>
      </c>
      <c r="F14" s="23">
        <v>1.34</v>
      </c>
      <c r="G14" s="23">
        <v>209</v>
      </c>
      <c r="H14" s="23"/>
      <c r="I14" s="33">
        <v>78000000</v>
      </c>
      <c r="J14" s="23" t="s">
        <v>26</v>
      </c>
      <c r="K14" s="33" t="s">
        <v>35</v>
      </c>
      <c r="L14" s="23" t="s">
        <v>26</v>
      </c>
      <c r="M14" s="23" t="s">
        <v>26</v>
      </c>
      <c r="N14" s="23" t="s">
        <v>26</v>
      </c>
      <c r="O14" s="23" t="s">
        <v>26</v>
      </c>
      <c r="P14" s="233">
        <f>B$11*A14</f>
        <v>0</v>
      </c>
      <c r="Q14" s="233" t="e">
        <f>6/LINEST(J14:J20,P14:P20,FALSE)</f>
        <v>#VALUE!</v>
      </c>
      <c r="R14" s="233" t="e">
        <f>Q14/3000</f>
        <v>#VALUE!</v>
      </c>
    </row>
    <row r="15" spans="1:18" ht="15.75" thickBot="1" x14ac:dyDescent="0.3">
      <c r="A15" s="32">
        <v>5</v>
      </c>
      <c r="B15" s="125">
        <v>4.3</v>
      </c>
      <c r="C15" s="24">
        <v>8.08</v>
      </c>
      <c r="D15" s="24">
        <v>6.54</v>
      </c>
      <c r="E15" s="24">
        <v>8000</v>
      </c>
      <c r="F15" s="24">
        <v>0.94</v>
      </c>
      <c r="G15" s="24">
        <v>118</v>
      </c>
      <c r="H15" s="23" t="s">
        <v>26</v>
      </c>
      <c r="I15" s="33">
        <v>0</v>
      </c>
      <c r="J15" s="24" t="s">
        <v>665</v>
      </c>
      <c r="K15" s="33" t="s">
        <v>35</v>
      </c>
      <c r="L15" s="23" t="s">
        <v>26</v>
      </c>
      <c r="M15" s="23" t="s">
        <v>26</v>
      </c>
      <c r="N15" s="23" t="s">
        <v>26</v>
      </c>
      <c r="O15" s="23" t="s">
        <v>26</v>
      </c>
      <c r="P15" s="233">
        <f>B$11*A15</f>
        <v>14186.507936507936</v>
      </c>
    </row>
    <row r="16" spans="1:18" ht="15.75" thickBot="1" x14ac:dyDescent="0.3">
      <c r="A16" s="32">
        <v>10</v>
      </c>
      <c r="B16" s="125">
        <v>3.8</v>
      </c>
      <c r="C16" s="24">
        <v>8.06</v>
      </c>
      <c r="D16" s="24">
        <v>6.51</v>
      </c>
      <c r="E16" s="24">
        <v>5000</v>
      </c>
      <c r="F16" s="24">
        <v>0.76</v>
      </c>
      <c r="G16" s="24">
        <v>163</v>
      </c>
      <c r="H16" s="23" t="s">
        <v>26</v>
      </c>
      <c r="I16" s="33">
        <v>0</v>
      </c>
      <c r="J16" s="24" t="s">
        <v>665</v>
      </c>
      <c r="K16" s="33" t="s">
        <v>35</v>
      </c>
      <c r="L16" s="23" t="s">
        <v>26</v>
      </c>
      <c r="M16" s="23" t="s">
        <v>26</v>
      </c>
      <c r="N16" s="23" t="s">
        <v>26</v>
      </c>
      <c r="O16" s="23" t="s">
        <v>26</v>
      </c>
      <c r="P16" s="233">
        <f t="shared" ref="P16:P21" si="0">B$11*A16</f>
        <v>28373.015873015873</v>
      </c>
    </row>
    <row r="17" spans="1:17" ht="15.75" thickBot="1" x14ac:dyDescent="0.3">
      <c r="A17" s="32">
        <v>20</v>
      </c>
      <c r="B17" s="125">
        <v>3.1</v>
      </c>
      <c r="C17" s="24">
        <v>8.11</v>
      </c>
      <c r="D17" s="24">
        <v>6.54</v>
      </c>
      <c r="E17" s="24">
        <v>3000</v>
      </c>
      <c r="F17" s="24">
        <v>0.15</v>
      </c>
      <c r="G17" s="24">
        <v>130</v>
      </c>
      <c r="H17" s="23" t="s">
        <v>26</v>
      </c>
      <c r="I17" s="33">
        <v>0</v>
      </c>
      <c r="J17" s="24" t="s">
        <v>665</v>
      </c>
      <c r="K17" s="33" t="s">
        <v>35</v>
      </c>
      <c r="L17" s="23" t="s">
        <v>26</v>
      </c>
      <c r="M17" s="23" t="s">
        <v>26</v>
      </c>
      <c r="N17" s="23" t="s">
        <v>26</v>
      </c>
      <c r="O17" s="23" t="s">
        <v>26</v>
      </c>
      <c r="P17" s="233">
        <f t="shared" si="0"/>
        <v>56746.031746031746</v>
      </c>
    </row>
    <row r="18" spans="1:17" ht="15.75" thickBot="1" x14ac:dyDescent="0.3">
      <c r="A18" s="32">
        <v>30</v>
      </c>
      <c r="B18" s="125">
        <v>3.1</v>
      </c>
      <c r="C18" s="50">
        <v>8.1</v>
      </c>
      <c r="D18" s="24">
        <v>6.54</v>
      </c>
      <c r="E18" s="24">
        <v>7000</v>
      </c>
      <c r="F18" s="24">
        <v>0.46</v>
      </c>
      <c r="G18" s="24">
        <v>270</v>
      </c>
      <c r="H18" s="23" t="s">
        <v>26</v>
      </c>
      <c r="I18" s="33">
        <v>0</v>
      </c>
      <c r="J18" s="24" t="s">
        <v>665</v>
      </c>
      <c r="K18" s="33" t="s">
        <v>35</v>
      </c>
      <c r="L18" s="23" t="s">
        <v>26</v>
      </c>
      <c r="M18" s="23" t="s">
        <v>26</v>
      </c>
      <c r="N18" s="23" t="s">
        <v>26</v>
      </c>
      <c r="O18" s="23" t="s">
        <v>26</v>
      </c>
      <c r="P18" s="233">
        <f t="shared" si="0"/>
        <v>85119.047619047618</v>
      </c>
    </row>
    <row r="19" spans="1:17" ht="15.75" thickBot="1" x14ac:dyDescent="0.3">
      <c r="A19" s="32">
        <v>60</v>
      </c>
      <c r="B19" s="125">
        <v>3.4</v>
      </c>
      <c r="C19" s="50">
        <v>8.1</v>
      </c>
      <c r="D19" s="24">
        <v>6.53</v>
      </c>
      <c r="E19" s="24">
        <v>6000</v>
      </c>
      <c r="F19" s="58">
        <v>0.45</v>
      </c>
      <c r="G19" s="24">
        <v>295</v>
      </c>
      <c r="H19" s="23" t="s">
        <v>26</v>
      </c>
      <c r="I19" s="33">
        <v>0</v>
      </c>
      <c r="J19" s="24" t="s">
        <v>665</v>
      </c>
      <c r="K19" s="33" t="s">
        <v>35</v>
      </c>
      <c r="L19" s="23" t="s">
        <v>26</v>
      </c>
      <c r="M19" s="23" t="s">
        <v>26</v>
      </c>
      <c r="N19" s="23" t="s">
        <v>26</v>
      </c>
      <c r="O19" s="23" t="s">
        <v>26</v>
      </c>
      <c r="P19" s="233">
        <f t="shared" si="0"/>
        <v>170238.09523809524</v>
      </c>
    </row>
    <row r="20" spans="1:17" ht="15.75" thickBot="1" x14ac:dyDescent="0.3">
      <c r="A20" s="32">
        <v>120</v>
      </c>
      <c r="B20" s="125">
        <v>4.2</v>
      </c>
      <c r="C20" s="24">
        <v>8.06</v>
      </c>
      <c r="D20" s="24">
        <v>6.53</v>
      </c>
      <c r="E20" s="24">
        <v>9000</v>
      </c>
      <c r="F20" s="100">
        <v>0.33</v>
      </c>
      <c r="G20" s="24">
        <v>327</v>
      </c>
      <c r="H20" s="23" t="s">
        <v>26</v>
      </c>
      <c r="I20" s="33">
        <v>0</v>
      </c>
      <c r="J20" s="24" t="s">
        <v>665</v>
      </c>
      <c r="K20" s="33" t="s">
        <v>35</v>
      </c>
      <c r="L20" s="23" t="s">
        <v>26</v>
      </c>
      <c r="M20" s="23" t="s">
        <v>26</v>
      </c>
      <c r="N20" s="23" t="s">
        <v>26</v>
      </c>
      <c r="O20" s="23" t="s">
        <v>26</v>
      </c>
      <c r="P20" s="233">
        <f t="shared" si="0"/>
        <v>340476.19047619047</v>
      </c>
    </row>
    <row r="21" spans="1:17" ht="15.75" thickBot="1" x14ac:dyDescent="0.3">
      <c r="A21" s="32">
        <v>180</v>
      </c>
      <c r="B21" s="125">
        <v>4.2</v>
      </c>
      <c r="C21" s="24">
        <v>8.06</v>
      </c>
      <c r="D21" s="50">
        <v>6.54</v>
      </c>
      <c r="E21" s="24">
        <v>8000</v>
      </c>
      <c r="F21" s="58">
        <v>0.16</v>
      </c>
      <c r="G21" s="24">
        <v>497</v>
      </c>
      <c r="H21" s="23" t="s">
        <v>26</v>
      </c>
      <c r="I21" s="33">
        <v>0</v>
      </c>
      <c r="J21" s="24" t="s">
        <v>665</v>
      </c>
      <c r="K21" s="33" t="s">
        <v>35</v>
      </c>
      <c r="L21" s="23" t="s">
        <v>26</v>
      </c>
      <c r="M21" s="23" t="s">
        <v>26</v>
      </c>
      <c r="N21" s="23" t="s">
        <v>26</v>
      </c>
      <c r="O21" s="23" t="s">
        <v>26</v>
      </c>
      <c r="P21" s="233">
        <f t="shared" si="0"/>
        <v>510714.28571428574</v>
      </c>
    </row>
    <row r="22" spans="1:17" ht="15.75" thickBot="1" x14ac:dyDescent="0.3">
      <c r="A22" s="32">
        <v>240</v>
      </c>
      <c r="B22" s="125">
        <v>4.5</v>
      </c>
      <c r="C22" s="24">
        <v>8.0500000000000007</v>
      </c>
      <c r="D22" s="50">
        <v>6.5</v>
      </c>
      <c r="E22" s="24">
        <v>6000</v>
      </c>
      <c r="F22" s="58">
        <v>0.44</v>
      </c>
      <c r="G22" s="24">
        <v>284</v>
      </c>
      <c r="H22" s="24"/>
      <c r="I22" s="33">
        <v>0</v>
      </c>
      <c r="J22" s="24" t="s">
        <v>665</v>
      </c>
      <c r="K22" s="33" t="s">
        <v>35</v>
      </c>
      <c r="L22" s="23" t="s">
        <v>26</v>
      </c>
      <c r="M22" s="36"/>
      <c r="N22" s="36"/>
      <c r="O22" s="27"/>
      <c r="P22" s="220"/>
    </row>
    <row r="23" spans="1:17" x14ac:dyDescent="0.25">
      <c r="N23" s="28"/>
      <c r="O23" s="28"/>
      <c r="Q23" t="s">
        <v>681</v>
      </c>
    </row>
    <row r="24" spans="1:17" x14ac:dyDescent="0.25">
      <c r="A24" s="28" t="s">
        <v>140</v>
      </c>
      <c r="B24" s="28"/>
      <c r="C24" s="28"/>
      <c r="D24" s="28"/>
      <c r="E24" s="28"/>
      <c r="F24" s="28"/>
      <c r="G24" s="28"/>
      <c r="H24" s="28"/>
      <c r="I24" s="404"/>
      <c r="J24" s="28"/>
      <c r="K24" s="28"/>
      <c r="L24" s="28"/>
      <c r="M24" s="28"/>
      <c r="N24" s="28"/>
      <c r="O24" s="28"/>
      <c r="Q24" t="s">
        <v>682</v>
      </c>
    </row>
    <row r="25" spans="1:17" x14ac:dyDescent="0.25">
      <c r="A25" s="28"/>
      <c r="B25" s="28" t="s">
        <v>141</v>
      </c>
      <c r="C25" s="28"/>
      <c r="D25" s="28"/>
      <c r="E25" s="28"/>
      <c r="F25" s="28"/>
      <c r="G25" s="28"/>
      <c r="H25" s="28"/>
      <c r="I25" s="404"/>
      <c r="J25" s="28"/>
      <c r="K25" s="28"/>
      <c r="L25" s="28"/>
      <c r="M25" s="28"/>
      <c r="N25" s="28" t="s">
        <v>34</v>
      </c>
      <c r="O25" s="28"/>
    </row>
    <row r="26" spans="1:17" x14ac:dyDescent="0.25">
      <c r="A26" s="28" t="s">
        <v>264</v>
      </c>
      <c r="B26" s="28"/>
      <c r="C26" s="28"/>
      <c r="D26" s="28"/>
      <c r="E26" s="28"/>
      <c r="F26" s="28"/>
      <c r="G26" s="28"/>
      <c r="H26" s="28"/>
      <c r="I26" s="404"/>
      <c r="J26" s="28" t="s">
        <v>34</v>
      </c>
      <c r="K26" s="28" t="s">
        <v>677</v>
      </c>
      <c r="L26" s="28" t="s">
        <v>34</v>
      </c>
      <c r="M26" s="28"/>
      <c r="N26" s="28"/>
      <c r="O26" s="28"/>
    </row>
    <row r="27" spans="1:17" x14ac:dyDescent="0.25">
      <c r="A27" s="59"/>
      <c r="F27" s="28"/>
      <c r="G27" s="28"/>
      <c r="H27" s="28"/>
      <c r="I27" s="404"/>
      <c r="J27" s="28"/>
      <c r="K27" s="28"/>
      <c r="L27" s="28" t="s">
        <v>34</v>
      </c>
      <c r="M27" s="28" t="s">
        <v>34</v>
      </c>
      <c r="N27" s="28"/>
      <c r="O27" s="28"/>
    </row>
    <row r="28" spans="1:17" x14ac:dyDescent="0.25">
      <c r="A28" s="19" t="s">
        <v>28</v>
      </c>
      <c r="B28" s="28"/>
      <c r="C28" s="28"/>
      <c r="D28" s="28"/>
      <c r="E28" s="28"/>
      <c r="F28" s="28"/>
      <c r="G28" s="28"/>
      <c r="H28" s="28"/>
      <c r="I28" s="404"/>
      <c r="J28" s="28"/>
      <c r="K28" s="28" t="s">
        <v>34</v>
      </c>
      <c r="L28" s="28"/>
      <c r="M28" s="28" t="s">
        <v>34</v>
      </c>
      <c r="N28" s="28"/>
      <c r="O28" s="28"/>
    </row>
    <row r="29" spans="1:17" x14ac:dyDescent="0.25">
      <c r="A29" s="28"/>
      <c r="B29" s="22" t="s">
        <v>679</v>
      </c>
      <c r="C29" s="28"/>
      <c r="D29" s="28"/>
      <c r="E29" s="28">
        <f>5.3625/(E30)</f>
        <v>2.8373015873015871E-3</v>
      </c>
      <c r="F29" s="28">
        <f>E29*1000*1000</f>
        <v>2837.301587301587</v>
      </c>
      <c r="G29" s="28"/>
      <c r="H29" s="28"/>
      <c r="I29" s="404"/>
      <c r="J29" s="28"/>
      <c r="K29" s="28"/>
      <c r="L29" s="28" t="s">
        <v>34</v>
      </c>
      <c r="M29" s="28" t="s">
        <v>34</v>
      </c>
      <c r="N29" s="28"/>
      <c r="O29" s="28"/>
    </row>
    <row r="30" spans="1:17" x14ac:dyDescent="0.25">
      <c r="A30" s="28"/>
      <c r="B30" s="189"/>
      <c r="C30" s="189"/>
      <c r="D30" s="189"/>
      <c r="E30" s="28">
        <f>(2000+65-200+25)</f>
        <v>1890</v>
      </c>
      <c r="F30" s="189"/>
      <c r="G30" s="189"/>
      <c r="H30" s="189"/>
      <c r="I30" s="189"/>
      <c r="J30" s="189"/>
      <c r="K30" s="189"/>
      <c r="L30" s="189" t="s">
        <v>34</v>
      </c>
      <c r="M30" s="28"/>
      <c r="N30" s="28"/>
      <c r="O30" s="28"/>
    </row>
  </sheetData>
  <pageMargins left="0.7" right="0.7" top="0.75" bottom="0.75" header="0.3" footer="0.3"/>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00CC"/>
    <pageSetUpPr fitToPage="1"/>
  </sheetPr>
  <dimension ref="A6:S52"/>
  <sheetViews>
    <sheetView zoomScale="90" zoomScaleNormal="90" workbookViewId="0"/>
  </sheetViews>
  <sheetFormatPr defaultRowHeight="15" x14ac:dyDescent="0.25"/>
  <cols>
    <col min="2" max="2" width="10" customWidth="1"/>
    <col min="9" max="9" width="10.28515625" bestFit="1" customWidth="1"/>
    <col min="11" max="11" width="8.42578125" bestFit="1" customWidth="1"/>
    <col min="18" max="18" width="10.85546875" customWidth="1"/>
  </cols>
  <sheetData>
    <row r="6" spans="1:15" x14ac:dyDescent="0.25">
      <c r="A6" s="7" t="s">
        <v>12</v>
      </c>
      <c r="B6" s="28"/>
      <c r="C6" s="28"/>
      <c r="D6" s="28"/>
      <c r="E6" s="28"/>
      <c r="F6" s="28"/>
      <c r="G6" s="28"/>
      <c r="H6" s="28"/>
      <c r="I6" s="222"/>
      <c r="J6" s="28"/>
      <c r="K6" s="28"/>
      <c r="L6" s="28"/>
      <c r="M6" s="28"/>
      <c r="N6" s="28"/>
      <c r="O6" s="28"/>
    </row>
    <row r="7" spans="1:15" x14ac:dyDescent="0.25">
      <c r="A7" s="30" t="s">
        <v>13</v>
      </c>
      <c r="B7" s="30">
        <v>42066</v>
      </c>
    </row>
    <row r="8" spans="1:15" x14ac:dyDescent="0.25">
      <c r="A8" s="28" t="s">
        <v>14</v>
      </c>
      <c r="B8" s="28">
        <v>21</v>
      </c>
      <c r="C8" s="28" t="s">
        <v>666</v>
      </c>
      <c r="D8" s="28"/>
      <c r="E8" s="28"/>
      <c r="F8" s="28"/>
      <c r="G8" s="28"/>
      <c r="H8" s="28"/>
      <c r="I8" s="222"/>
      <c r="J8" s="28"/>
      <c r="K8" s="28" t="s">
        <v>34</v>
      </c>
      <c r="L8" s="28" t="s">
        <v>34</v>
      </c>
      <c r="M8" s="28"/>
      <c r="N8" s="28"/>
      <c r="O8" s="28"/>
    </row>
    <row r="9" spans="1:15" x14ac:dyDescent="0.25">
      <c r="A9" s="28" t="s">
        <v>15</v>
      </c>
      <c r="B9" s="28">
        <v>10</v>
      </c>
      <c r="C9" s="28" t="s">
        <v>240</v>
      </c>
      <c r="D9" s="28"/>
      <c r="E9" s="28"/>
      <c r="F9" s="28"/>
      <c r="G9" s="28"/>
      <c r="H9" s="28"/>
      <c r="I9" s="222"/>
      <c r="J9" s="28"/>
      <c r="K9" s="28"/>
      <c r="L9" s="28"/>
      <c r="M9" s="28"/>
      <c r="N9" s="28"/>
      <c r="O9" s="28"/>
    </row>
    <row r="10" spans="1:15" x14ac:dyDescent="0.25">
      <c r="A10" s="28" t="s">
        <v>16</v>
      </c>
      <c r="B10" s="31">
        <v>2000</v>
      </c>
      <c r="C10" s="28" t="s">
        <v>695</v>
      </c>
      <c r="D10" s="28"/>
      <c r="E10" s="28"/>
      <c r="F10" s="28"/>
      <c r="G10" s="28"/>
      <c r="H10" s="28"/>
      <c r="I10" s="222" t="s">
        <v>34</v>
      </c>
      <c r="J10" s="28" t="s">
        <v>34</v>
      </c>
      <c r="K10" s="28" t="s">
        <v>34</v>
      </c>
      <c r="L10" s="28" t="s">
        <v>34</v>
      </c>
      <c r="M10" s="28" t="s">
        <v>34</v>
      </c>
      <c r="N10" s="28" t="s">
        <v>34</v>
      </c>
      <c r="O10" s="28"/>
    </row>
    <row r="11" spans="1:15" x14ac:dyDescent="0.25">
      <c r="A11" s="28"/>
      <c r="B11" s="31" t="s">
        <v>661</v>
      </c>
      <c r="C11" s="28"/>
      <c r="D11" s="28"/>
      <c r="E11" s="28"/>
      <c r="F11" s="28"/>
      <c r="G11" s="28"/>
      <c r="H11" s="28"/>
      <c r="I11" s="222"/>
      <c r="J11" s="28"/>
      <c r="K11" s="28" t="s">
        <v>34</v>
      </c>
      <c r="L11" s="28"/>
      <c r="M11" s="28"/>
      <c r="N11" s="28"/>
      <c r="O11" s="28"/>
    </row>
    <row r="12" spans="1:15" x14ac:dyDescent="0.25">
      <c r="A12" s="28"/>
      <c r="B12" s="31">
        <v>65</v>
      </c>
      <c r="C12" s="28" t="s">
        <v>694</v>
      </c>
      <c r="D12" s="28"/>
      <c r="E12" s="28"/>
      <c r="F12" s="28"/>
      <c r="G12" s="28"/>
      <c r="H12" s="28"/>
      <c r="I12" s="230"/>
      <c r="J12" s="28"/>
      <c r="K12" s="28"/>
      <c r="L12" s="28"/>
      <c r="M12" s="28"/>
      <c r="N12" s="28"/>
      <c r="O12" s="28"/>
    </row>
    <row r="13" spans="1:15" x14ac:dyDescent="0.25">
      <c r="A13" s="28"/>
      <c r="B13" s="31">
        <v>8.25</v>
      </c>
      <c r="C13" s="28" t="s">
        <v>697</v>
      </c>
      <c r="D13" s="28"/>
      <c r="E13" s="28"/>
      <c r="F13" s="28"/>
      <c r="G13" s="28"/>
      <c r="H13" s="28"/>
      <c r="I13" s="230"/>
      <c r="J13" s="28"/>
      <c r="K13" s="28"/>
      <c r="L13" s="28"/>
      <c r="M13" s="28"/>
      <c r="N13" s="28"/>
      <c r="O13" s="28"/>
    </row>
    <row r="14" spans="1:15" x14ac:dyDescent="0.25">
      <c r="A14" s="28"/>
      <c r="B14" s="31">
        <v>200</v>
      </c>
      <c r="C14" s="87" t="s">
        <v>696</v>
      </c>
      <c r="D14" s="28"/>
      <c r="E14" s="28"/>
      <c r="F14" s="28"/>
      <c r="G14" s="28"/>
      <c r="H14" s="28"/>
      <c r="I14" s="230"/>
      <c r="J14" s="28"/>
      <c r="K14" s="28"/>
      <c r="L14" s="28"/>
      <c r="M14" s="28"/>
      <c r="N14" s="28"/>
      <c r="O14" s="28"/>
    </row>
    <row r="15" spans="1:15" x14ac:dyDescent="0.25">
      <c r="A15" s="28"/>
      <c r="B15" s="31">
        <v>25</v>
      </c>
      <c r="C15" s="87" t="s">
        <v>698</v>
      </c>
      <c r="D15" s="28"/>
      <c r="E15" s="28"/>
      <c r="F15" s="28"/>
      <c r="G15" s="28"/>
      <c r="H15" s="28"/>
      <c r="I15" s="230"/>
      <c r="J15" s="28"/>
      <c r="K15" s="28"/>
      <c r="L15" s="28"/>
      <c r="M15" s="28"/>
      <c r="N15" s="28"/>
      <c r="O15" s="28"/>
    </row>
    <row r="16" spans="1:15" x14ac:dyDescent="0.25">
      <c r="A16" s="28"/>
      <c r="B16" s="232">
        <f>(B12*B13/100*1000)/(B10+65-B14+B15)*1000</f>
        <v>2837.3015873015875</v>
      </c>
      <c r="C16" s="28" t="s">
        <v>700</v>
      </c>
      <c r="D16" s="28"/>
      <c r="E16" s="28"/>
      <c r="F16" s="28"/>
      <c r="G16" s="28"/>
      <c r="H16" s="28"/>
      <c r="I16" s="230"/>
      <c r="J16" s="28"/>
      <c r="K16" s="28"/>
      <c r="L16" s="28"/>
      <c r="M16" s="28"/>
      <c r="N16" s="28"/>
      <c r="O16" s="28"/>
    </row>
    <row r="17" spans="1:19" ht="16.5" thickBot="1" x14ac:dyDescent="0.35">
      <c r="A17" s="28"/>
      <c r="B17" s="28" t="s">
        <v>664</v>
      </c>
      <c r="C17" s="28"/>
      <c r="D17" s="28"/>
      <c r="E17" s="28"/>
      <c r="F17" s="28"/>
      <c r="G17" s="28"/>
      <c r="H17" s="28"/>
      <c r="I17" s="222"/>
      <c r="J17" s="28"/>
      <c r="K17" s="28"/>
      <c r="L17" s="28"/>
      <c r="M17" s="28"/>
      <c r="N17" s="28"/>
      <c r="O17" s="28"/>
    </row>
    <row r="18" spans="1:19" ht="77.25"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19" ht="15.75" thickBot="1" x14ac:dyDescent="0.3">
      <c r="A19" s="32">
        <v>0</v>
      </c>
      <c r="B19" s="51">
        <v>3.8</v>
      </c>
      <c r="C19" s="182">
        <v>7.6</v>
      </c>
      <c r="D19" s="23">
        <v>7.56</v>
      </c>
      <c r="E19" s="23">
        <v>0.65</v>
      </c>
      <c r="F19" s="23">
        <v>0.49</v>
      </c>
      <c r="G19" s="23">
        <v>312</v>
      </c>
      <c r="H19" s="23">
        <v>371</v>
      </c>
      <c r="I19" s="33">
        <v>48000000</v>
      </c>
      <c r="J19" s="50">
        <f>LOG(I$19)-LOG(I19)</f>
        <v>0</v>
      </c>
      <c r="K19" s="33" t="s">
        <v>35</v>
      </c>
      <c r="L19" s="23" t="s">
        <v>26</v>
      </c>
      <c r="M19" s="23" t="s">
        <v>26</v>
      </c>
      <c r="N19" s="23" t="s">
        <v>26</v>
      </c>
      <c r="O19" s="23" t="s">
        <v>26</v>
      </c>
      <c r="P19" s="233">
        <f>B$16*A19</f>
        <v>0</v>
      </c>
      <c r="Q19" s="233">
        <f>6/LINEST(J19:J20,P19:P20,FALSE)</f>
        <v>23094.993504755832</v>
      </c>
      <c r="R19" s="233">
        <f>Q19/3000</f>
        <v>7.6983311682519444</v>
      </c>
      <c r="S19" s="233">
        <f>(J28/LINEST($J19:$J20,$P19:$P20,FALSE))/$B$16</f>
        <v>10.446043215997253</v>
      </c>
    </row>
    <row r="20" spans="1:19" ht="15.75" thickBot="1" x14ac:dyDescent="0.3">
      <c r="A20" s="32">
        <v>5</v>
      </c>
      <c r="B20" s="125">
        <v>3.8</v>
      </c>
      <c r="C20" s="24">
        <v>8.0500000000000007</v>
      </c>
      <c r="D20" s="24">
        <v>10.33</v>
      </c>
      <c r="E20" s="24">
        <v>5000</v>
      </c>
      <c r="F20" s="24">
        <v>0.16</v>
      </c>
      <c r="G20" s="24">
        <v>382</v>
      </c>
      <c r="H20" s="23" t="s">
        <v>26</v>
      </c>
      <c r="I20" s="33">
        <v>9900</v>
      </c>
      <c r="J20" s="50">
        <f>LOG(I$19)-LOG(I20)</f>
        <v>3.6856060427780375</v>
      </c>
      <c r="K20" s="33" t="s">
        <v>35</v>
      </c>
      <c r="L20" s="23" t="s">
        <v>26</v>
      </c>
      <c r="M20" s="23" t="s">
        <v>26</v>
      </c>
      <c r="N20" s="23" t="s">
        <v>26</v>
      </c>
      <c r="O20" s="23" t="s">
        <v>26</v>
      </c>
      <c r="P20" s="233">
        <f>B$16*A20</f>
        <v>14186.507936507936</v>
      </c>
      <c r="Q20" s="228"/>
    </row>
    <row r="21" spans="1:19" ht="15.75" thickBot="1" x14ac:dyDescent="0.3">
      <c r="A21" s="32">
        <v>10</v>
      </c>
      <c r="B21" s="125">
        <v>3.8</v>
      </c>
      <c r="C21" s="24">
        <v>8.0500000000000007</v>
      </c>
      <c r="D21" s="50">
        <v>10.4</v>
      </c>
      <c r="E21" s="24">
        <v>4000</v>
      </c>
      <c r="F21" s="24">
        <v>0.44</v>
      </c>
      <c r="G21" s="24">
        <v>273</v>
      </c>
      <c r="H21" s="23" t="s">
        <v>26</v>
      </c>
      <c r="I21" s="33">
        <v>0</v>
      </c>
      <c r="J21" s="24" t="s">
        <v>639</v>
      </c>
      <c r="K21" s="33" t="s">
        <v>35</v>
      </c>
      <c r="L21" s="23" t="s">
        <v>26</v>
      </c>
      <c r="M21" s="23" t="s">
        <v>26</v>
      </c>
      <c r="N21" s="23" t="s">
        <v>26</v>
      </c>
      <c r="O21" s="23" t="s">
        <v>26</v>
      </c>
      <c r="P21" s="233">
        <f t="shared" ref="P21:P26" si="0">B$16*A21</f>
        <v>28373.015873015873</v>
      </c>
      <c r="Q21" s="228"/>
    </row>
    <row r="22" spans="1:19" ht="15.75" thickBot="1" x14ac:dyDescent="0.3">
      <c r="A22" s="32">
        <v>20</v>
      </c>
      <c r="B22" s="125">
        <v>3.8</v>
      </c>
      <c r="C22" s="24">
        <v>8.0399999999999991</v>
      </c>
      <c r="D22" s="24">
        <v>10.46</v>
      </c>
      <c r="E22" s="24">
        <v>5000</v>
      </c>
      <c r="F22" s="24">
        <v>0.33</v>
      </c>
      <c r="G22" s="24">
        <v>285</v>
      </c>
      <c r="H22" s="23" t="s">
        <v>26</v>
      </c>
      <c r="I22" s="33">
        <v>0</v>
      </c>
      <c r="J22" s="24" t="s">
        <v>639</v>
      </c>
      <c r="K22" s="33" t="s">
        <v>35</v>
      </c>
      <c r="L22" s="23" t="s">
        <v>26</v>
      </c>
      <c r="M22" s="23" t="s">
        <v>26</v>
      </c>
      <c r="N22" s="23" t="s">
        <v>26</v>
      </c>
      <c r="O22" s="23" t="s">
        <v>26</v>
      </c>
      <c r="P22" s="233">
        <f t="shared" si="0"/>
        <v>56746.031746031746</v>
      </c>
      <c r="Q22" s="228"/>
    </row>
    <row r="23" spans="1:19" ht="15.75" thickBot="1" x14ac:dyDescent="0.3">
      <c r="A23" s="32">
        <v>30</v>
      </c>
      <c r="B23" s="125">
        <v>3.8</v>
      </c>
      <c r="C23" s="50">
        <v>8.0399999999999991</v>
      </c>
      <c r="D23" s="24">
        <v>10.49</v>
      </c>
      <c r="E23" s="24">
        <v>8000</v>
      </c>
      <c r="F23" s="24">
        <v>0.52</v>
      </c>
      <c r="G23" s="24">
        <v>525</v>
      </c>
      <c r="H23" s="23" t="s">
        <v>26</v>
      </c>
      <c r="I23" s="33">
        <v>0</v>
      </c>
      <c r="J23" s="24" t="s">
        <v>639</v>
      </c>
      <c r="K23" s="33" t="s">
        <v>35</v>
      </c>
      <c r="L23" s="23" t="s">
        <v>26</v>
      </c>
      <c r="M23" s="23" t="s">
        <v>26</v>
      </c>
      <c r="N23" s="23" t="s">
        <v>26</v>
      </c>
      <c r="O23" s="23" t="s">
        <v>26</v>
      </c>
      <c r="P23" s="233">
        <f t="shared" si="0"/>
        <v>85119.047619047618</v>
      </c>
      <c r="Q23" s="228"/>
    </row>
    <row r="24" spans="1:19" ht="15.75" thickBot="1" x14ac:dyDescent="0.3">
      <c r="A24" s="32">
        <v>60</v>
      </c>
      <c r="B24" s="125">
        <v>4.0999999999999996</v>
      </c>
      <c r="C24" s="50">
        <v>8.0299999999999994</v>
      </c>
      <c r="D24" s="24">
        <v>10.56</v>
      </c>
      <c r="E24" s="24">
        <v>9000</v>
      </c>
      <c r="F24" s="58">
        <v>0.09</v>
      </c>
      <c r="G24" s="24">
        <v>302</v>
      </c>
      <c r="H24" s="23" t="s">
        <v>26</v>
      </c>
      <c r="I24" s="33">
        <v>0</v>
      </c>
      <c r="J24" s="24" t="s">
        <v>639</v>
      </c>
      <c r="K24" s="33" t="s">
        <v>35</v>
      </c>
      <c r="L24" s="23" t="s">
        <v>26</v>
      </c>
      <c r="M24" s="23" t="s">
        <v>26</v>
      </c>
      <c r="N24" s="23" t="s">
        <v>26</v>
      </c>
      <c r="O24" s="23" t="s">
        <v>26</v>
      </c>
      <c r="P24" s="233">
        <f t="shared" si="0"/>
        <v>170238.09523809524</v>
      </c>
      <c r="Q24" s="228"/>
    </row>
    <row r="25" spans="1:19" ht="15.75" thickBot="1" x14ac:dyDescent="0.3">
      <c r="A25" s="32">
        <v>120</v>
      </c>
      <c r="B25" s="125">
        <v>4.5</v>
      </c>
      <c r="C25" s="24">
        <v>8.02</v>
      </c>
      <c r="D25" s="24">
        <v>10.85</v>
      </c>
      <c r="E25" s="24">
        <v>5000</v>
      </c>
      <c r="F25" s="100">
        <v>0.16</v>
      </c>
      <c r="G25" s="24">
        <v>462</v>
      </c>
      <c r="H25" s="23" t="s">
        <v>26</v>
      </c>
      <c r="I25" s="33">
        <v>0</v>
      </c>
      <c r="J25" s="24" t="s">
        <v>639</v>
      </c>
      <c r="K25" s="33" t="s">
        <v>35</v>
      </c>
      <c r="L25" s="23" t="s">
        <v>26</v>
      </c>
      <c r="M25" s="23" t="s">
        <v>26</v>
      </c>
      <c r="N25" s="23" t="s">
        <v>26</v>
      </c>
      <c r="O25" s="23" t="s">
        <v>26</v>
      </c>
      <c r="P25" s="233">
        <f t="shared" si="0"/>
        <v>340476.19047619047</v>
      </c>
      <c r="Q25" s="228"/>
    </row>
    <row r="26" spans="1:19" ht="15.75" thickBot="1" x14ac:dyDescent="0.3">
      <c r="A26" s="32">
        <v>180</v>
      </c>
      <c r="B26" s="125">
        <v>4.5999999999999996</v>
      </c>
      <c r="C26" s="50">
        <v>8</v>
      </c>
      <c r="D26" s="50">
        <v>11.18</v>
      </c>
      <c r="E26" s="24">
        <v>4000</v>
      </c>
      <c r="F26" s="58">
        <v>0.01</v>
      </c>
      <c r="G26" s="24">
        <v>445</v>
      </c>
      <c r="H26" s="23" t="s">
        <v>26</v>
      </c>
      <c r="I26" s="33">
        <v>0</v>
      </c>
      <c r="J26" s="24" t="s">
        <v>639</v>
      </c>
      <c r="K26" s="33" t="s">
        <v>35</v>
      </c>
      <c r="L26" s="23" t="s">
        <v>26</v>
      </c>
      <c r="M26" s="23" t="s">
        <v>26</v>
      </c>
      <c r="N26" s="23" t="s">
        <v>26</v>
      </c>
      <c r="O26" s="23" t="s">
        <v>26</v>
      </c>
      <c r="P26" s="233">
        <f t="shared" si="0"/>
        <v>510714.28571428574</v>
      </c>
      <c r="Q26" s="228"/>
    </row>
    <row r="27" spans="1:19" ht="15.75" thickBot="1" x14ac:dyDescent="0.3">
      <c r="A27" s="32">
        <v>240</v>
      </c>
      <c r="B27" s="125">
        <v>4.7</v>
      </c>
      <c r="C27" s="24">
        <v>7.99</v>
      </c>
      <c r="D27" s="50">
        <v>11.57</v>
      </c>
      <c r="E27" s="24">
        <v>7000</v>
      </c>
      <c r="F27" s="58">
        <v>0.28999999999999998</v>
      </c>
      <c r="G27" s="24">
        <v>423</v>
      </c>
      <c r="H27" s="24">
        <v>122</v>
      </c>
      <c r="I27" s="33">
        <v>0</v>
      </c>
      <c r="J27" s="24" t="s">
        <v>639</v>
      </c>
      <c r="K27" s="33" t="s">
        <v>35</v>
      </c>
      <c r="L27" s="23" t="s">
        <v>26</v>
      </c>
      <c r="M27" s="36">
        <v>62.5</v>
      </c>
      <c r="N27" s="36">
        <v>6575</v>
      </c>
      <c r="O27" s="27">
        <v>925</v>
      </c>
      <c r="P27" s="220"/>
    </row>
    <row r="28" spans="1:19" x14ac:dyDescent="0.25">
      <c r="C28">
        <f>AVERAGE(C20)</f>
        <v>8.0500000000000007</v>
      </c>
      <c r="E28">
        <f>AVERAGE(E19:E26)</f>
        <v>5000.0812500000002</v>
      </c>
      <c r="F28">
        <f>_xlfn.STDEV.P(E19:E26)</f>
        <v>2549.350416520047</v>
      </c>
      <c r="J28">
        <v>7.7</v>
      </c>
      <c r="N28" s="28"/>
      <c r="O28" s="28"/>
    </row>
    <row r="29" spans="1:19" x14ac:dyDescent="0.25">
      <c r="A29" s="28" t="s">
        <v>140</v>
      </c>
      <c r="B29" s="28"/>
      <c r="C29" s="28"/>
      <c r="D29" s="28"/>
      <c r="E29" s="28"/>
      <c r="F29" s="28"/>
      <c r="G29" s="28"/>
      <c r="H29" s="28"/>
      <c r="I29" s="222"/>
      <c r="J29" s="28"/>
      <c r="K29" s="28"/>
      <c r="L29" s="28"/>
      <c r="M29" s="28"/>
      <c r="N29" s="28"/>
      <c r="O29" s="28"/>
    </row>
    <row r="30" spans="1:19" x14ac:dyDescent="0.25">
      <c r="A30" s="28"/>
      <c r="B30" s="28" t="s">
        <v>141</v>
      </c>
      <c r="C30" s="28"/>
      <c r="D30" s="28"/>
      <c r="E30" s="28"/>
      <c r="F30" s="28"/>
      <c r="G30" s="28"/>
      <c r="H30" s="28"/>
      <c r="I30" s="222"/>
      <c r="J30" s="28"/>
      <c r="K30" s="28"/>
      <c r="L30" s="28"/>
      <c r="M30" s="28"/>
      <c r="N30" s="28" t="s">
        <v>34</v>
      </c>
      <c r="O30" s="28"/>
    </row>
    <row r="31" spans="1:19" x14ac:dyDescent="0.25">
      <c r="A31" s="28" t="s">
        <v>264</v>
      </c>
      <c r="B31" s="28"/>
      <c r="C31" s="28"/>
      <c r="D31" s="28"/>
      <c r="E31" s="28"/>
      <c r="F31" s="28"/>
      <c r="G31" s="28"/>
      <c r="H31" s="28"/>
      <c r="I31" s="222"/>
      <c r="J31" s="28" t="s">
        <v>34</v>
      </c>
      <c r="K31" s="28"/>
      <c r="L31" s="28" t="s">
        <v>34</v>
      </c>
      <c r="M31" s="28"/>
      <c r="N31" s="28"/>
      <c r="O31" s="28"/>
      <c r="R31" s="225" t="s">
        <v>681</v>
      </c>
    </row>
    <row r="32" spans="1:19" x14ac:dyDescent="0.25">
      <c r="A32" s="59"/>
      <c r="F32" s="28"/>
      <c r="G32" s="28"/>
      <c r="H32" s="28"/>
      <c r="I32" s="222"/>
      <c r="J32" s="28"/>
      <c r="K32" s="28"/>
      <c r="L32" s="28" t="s">
        <v>34</v>
      </c>
      <c r="M32" s="28" t="s">
        <v>34</v>
      </c>
      <c r="N32" s="28"/>
      <c r="O32" s="28"/>
      <c r="R32" s="224">
        <f>6/(LINEST(J19:J20,P19:P20,FALSE))</f>
        <v>23094.993504755832</v>
      </c>
    </row>
    <row r="33" spans="1:15" x14ac:dyDescent="0.25">
      <c r="A33" s="19" t="s">
        <v>28</v>
      </c>
      <c r="B33" s="28"/>
      <c r="C33" s="28"/>
      <c r="D33" s="28"/>
      <c r="E33" s="28"/>
      <c r="F33" s="28"/>
      <c r="G33" s="28"/>
      <c r="H33" s="28"/>
      <c r="I33" s="222"/>
      <c r="J33" s="28"/>
      <c r="K33" s="28" t="s">
        <v>34</v>
      </c>
      <c r="L33" s="28"/>
      <c r="M33" s="28" t="s">
        <v>34</v>
      </c>
      <c r="N33" s="28"/>
      <c r="O33" s="28"/>
    </row>
    <row r="34" spans="1:15" x14ac:dyDescent="0.25">
      <c r="A34" s="28"/>
      <c r="B34" s="22" t="s">
        <v>679</v>
      </c>
      <c r="C34" s="28"/>
      <c r="D34" s="28"/>
      <c r="E34" s="28">
        <f>5.3625/E35</f>
        <v>2.8373015873015871E-3</v>
      </c>
      <c r="F34" s="28">
        <f>E34*1000*1000</f>
        <v>2837.301587301587</v>
      </c>
      <c r="G34" s="28"/>
      <c r="H34" s="28"/>
      <c r="I34" s="222"/>
      <c r="J34" s="28"/>
      <c r="K34" s="28"/>
      <c r="L34" s="28" t="s">
        <v>34</v>
      </c>
      <c r="M34" s="28" t="s">
        <v>34</v>
      </c>
      <c r="N34" s="28"/>
      <c r="O34" s="28"/>
    </row>
    <row r="35" spans="1:15" x14ac:dyDescent="0.25">
      <c r="A35" s="28"/>
      <c r="B35" s="189"/>
      <c r="C35" s="189"/>
      <c r="D35" s="189"/>
      <c r="E35" s="28">
        <f>(2000+65-200+25)</f>
        <v>1890</v>
      </c>
      <c r="F35" s="189"/>
      <c r="G35" s="189"/>
      <c r="H35" s="189"/>
      <c r="I35" s="189"/>
      <c r="J35" s="189"/>
      <c r="K35" s="189"/>
      <c r="L35" s="189" t="s">
        <v>34</v>
      </c>
      <c r="M35" s="28"/>
      <c r="N35" s="28"/>
      <c r="O35" s="28"/>
    </row>
    <row r="36" spans="1:15" x14ac:dyDescent="0.25">
      <c r="A36" s="28"/>
      <c r="B36" s="189"/>
      <c r="C36" s="189"/>
      <c r="D36" s="189"/>
      <c r="E36" s="189"/>
      <c r="F36" s="189"/>
      <c r="G36" s="189"/>
      <c r="H36" s="189"/>
      <c r="I36" s="189"/>
      <c r="J36" s="189"/>
      <c r="K36" s="189"/>
      <c r="L36" s="189"/>
      <c r="M36" s="28"/>
      <c r="N36" s="28"/>
      <c r="O36" s="28"/>
    </row>
    <row r="37" spans="1:15" x14ac:dyDescent="0.25">
      <c r="A37" s="28"/>
      <c r="B37" s="22"/>
      <c r="C37" s="28"/>
      <c r="D37" s="28"/>
      <c r="E37" s="28"/>
      <c r="F37" s="28"/>
      <c r="G37" s="28"/>
      <c r="H37" s="28"/>
      <c r="I37" s="222"/>
      <c r="J37" s="28"/>
      <c r="K37" s="28"/>
      <c r="L37" s="28"/>
      <c r="M37" s="28" t="s">
        <v>34</v>
      </c>
      <c r="N37" s="28"/>
      <c r="O37" s="28"/>
    </row>
    <row r="38" spans="1:15" x14ac:dyDescent="0.25">
      <c r="A38" s="28"/>
      <c r="B38" s="189"/>
      <c r="C38" s="189"/>
      <c r="D38" s="189"/>
      <c r="E38" s="189"/>
      <c r="F38" s="189"/>
      <c r="G38" s="189"/>
      <c r="H38" s="189"/>
      <c r="I38" s="189"/>
      <c r="J38" s="189"/>
      <c r="K38" s="189"/>
      <c r="M38" s="28"/>
      <c r="N38" s="28"/>
      <c r="O38" s="28"/>
    </row>
    <row r="39" spans="1:15" x14ac:dyDescent="0.25">
      <c r="A39" s="28"/>
      <c r="B39" s="189"/>
      <c r="C39" s="189"/>
      <c r="D39" s="189"/>
      <c r="E39" s="189"/>
      <c r="F39" s="189"/>
      <c r="G39" s="189"/>
      <c r="H39" s="189"/>
      <c r="I39" s="189"/>
      <c r="J39" s="189"/>
      <c r="K39" s="189"/>
      <c r="M39" s="28"/>
      <c r="N39" s="28"/>
      <c r="O39" s="28"/>
    </row>
    <row r="40" spans="1:15" x14ac:dyDescent="0.25">
      <c r="A40" s="28"/>
      <c r="B40" s="69"/>
      <c r="C40" s="87"/>
      <c r="D40" s="87"/>
      <c r="E40" s="87"/>
      <c r="F40" s="87"/>
      <c r="G40" s="87"/>
      <c r="H40" s="87"/>
      <c r="I40" s="88"/>
      <c r="J40" s="87"/>
      <c r="K40" s="87"/>
      <c r="L40" s="28"/>
      <c r="M40" s="28"/>
      <c r="N40" s="28"/>
      <c r="O40" s="28"/>
    </row>
    <row r="41" spans="1:15" x14ac:dyDescent="0.25">
      <c r="A41" s="28"/>
      <c r="B41" s="75"/>
      <c r="C41" s="28"/>
      <c r="D41" s="28"/>
      <c r="E41" s="28"/>
      <c r="F41" s="28"/>
      <c r="G41" s="28"/>
      <c r="H41" s="28"/>
      <c r="I41" s="222"/>
      <c r="J41" s="28"/>
      <c r="K41" s="28"/>
      <c r="N41" s="28"/>
      <c r="O41" s="28"/>
    </row>
    <row r="42" spans="1:15" x14ac:dyDescent="0.25">
      <c r="A42" s="28"/>
      <c r="B42" s="22"/>
      <c r="L42" s="28"/>
      <c r="N42" s="28"/>
      <c r="O42" s="28"/>
    </row>
    <row r="43" spans="1:15" x14ac:dyDescent="0.25">
      <c r="A43" s="28"/>
      <c r="B43" s="22"/>
      <c r="L43" s="28"/>
      <c r="N43" s="28"/>
      <c r="O43" s="28" t="s">
        <v>34</v>
      </c>
    </row>
    <row r="44" spans="1:15" x14ac:dyDescent="0.25">
      <c r="A44" s="28"/>
      <c r="B44" s="22"/>
      <c r="L44" s="28"/>
      <c r="M44" s="28"/>
      <c r="N44" s="28"/>
      <c r="O44" s="28"/>
    </row>
    <row r="45" spans="1:15" x14ac:dyDescent="0.25">
      <c r="B45" s="189"/>
      <c r="C45" s="64"/>
      <c r="D45" s="64"/>
      <c r="E45" s="64"/>
      <c r="F45" s="64"/>
      <c r="G45" s="64"/>
      <c r="H45" s="64"/>
      <c r="I45" s="64"/>
      <c r="J45" s="64"/>
      <c r="K45" s="64"/>
      <c r="L45" s="65"/>
      <c r="M45" s="28"/>
      <c r="N45" s="28"/>
      <c r="O45" s="28"/>
    </row>
    <row r="46" spans="1:15" x14ac:dyDescent="0.25">
      <c r="B46" s="189"/>
    </row>
    <row r="47" spans="1:15" x14ac:dyDescent="0.25">
      <c r="B47" s="22"/>
      <c r="C47" s="28"/>
      <c r="D47" s="28"/>
      <c r="E47" s="28"/>
      <c r="F47" s="28"/>
      <c r="G47" s="28"/>
      <c r="H47" s="28"/>
      <c r="I47" s="222"/>
      <c r="J47" s="28"/>
    </row>
    <row r="48" spans="1:15" x14ac:dyDescent="0.25">
      <c r="B48" s="189"/>
      <c r="C48" s="64"/>
      <c r="D48" s="64"/>
      <c r="E48" s="64"/>
      <c r="F48" s="64"/>
      <c r="G48" s="64"/>
      <c r="H48" s="64"/>
      <c r="I48" s="64"/>
      <c r="J48" s="64"/>
      <c r="K48" s="64"/>
      <c r="L48" s="65"/>
      <c r="O48" t="s">
        <v>34</v>
      </c>
    </row>
    <row r="49" spans="2:14" x14ac:dyDescent="0.25">
      <c r="B49" s="189"/>
      <c r="C49" s="189"/>
      <c r="D49" s="189"/>
      <c r="E49" s="189"/>
      <c r="F49" s="189"/>
      <c r="G49" s="189"/>
      <c r="H49" s="189"/>
      <c r="I49" s="189"/>
      <c r="J49" s="189"/>
      <c r="K49" s="189"/>
      <c r="N49" t="s">
        <v>34</v>
      </c>
    </row>
    <row r="50" spans="2:14" x14ac:dyDescent="0.25">
      <c r="B50" s="189"/>
      <c r="C50" s="189"/>
      <c r="D50" s="189"/>
      <c r="E50" s="189"/>
      <c r="F50" s="189"/>
      <c r="G50" s="189"/>
      <c r="H50" s="189"/>
      <c r="I50" s="189"/>
      <c r="J50" s="189"/>
      <c r="K50" s="189"/>
    </row>
    <row r="51" spans="2:14" x14ac:dyDescent="0.25">
      <c r="B51" s="22"/>
      <c r="C51" s="28"/>
      <c r="D51" s="28"/>
      <c r="E51" s="28"/>
      <c r="F51" s="28"/>
      <c r="G51" s="28"/>
      <c r="H51" s="222"/>
      <c r="I51" s="28"/>
      <c r="J51" s="189"/>
      <c r="K51" s="28"/>
    </row>
    <row r="52" spans="2:14" x14ac:dyDescent="0.25">
      <c r="N52" t="s">
        <v>34</v>
      </c>
    </row>
  </sheetData>
  <pageMargins left="0.7" right="0.7" top="0.75" bottom="0.75" header="0.3" footer="0.3"/>
  <pageSetup scale="62" orientation="landscape" verticalDpi="597" r:id="rId1"/>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rgb="FF0000CC"/>
    <pageSetUpPr fitToPage="1"/>
  </sheetPr>
  <dimension ref="A6:S52"/>
  <sheetViews>
    <sheetView zoomScaleNormal="100" workbookViewId="0"/>
  </sheetViews>
  <sheetFormatPr defaultRowHeight="15" x14ac:dyDescent="0.25"/>
  <cols>
    <col min="2" max="2" width="10" customWidth="1"/>
    <col min="9" max="9" width="10.28515625" bestFit="1" customWidth="1"/>
    <col min="11" max="11" width="8.42578125" bestFit="1" customWidth="1"/>
  </cols>
  <sheetData>
    <row r="6" spans="1:15" x14ac:dyDescent="0.25">
      <c r="A6" s="7" t="s">
        <v>12</v>
      </c>
      <c r="B6" s="28"/>
      <c r="C6" s="28"/>
      <c r="D6" s="28"/>
      <c r="E6" s="28"/>
      <c r="F6" s="28"/>
      <c r="G6" s="28"/>
      <c r="H6" s="28"/>
      <c r="I6" s="222"/>
      <c r="J6" s="28"/>
      <c r="K6" s="28"/>
      <c r="L6" s="28"/>
      <c r="M6" s="28"/>
      <c r="N6" s="28"/>
      <c r="O6" s="28"/>
    </row>
    <row r="7" spans="1:15" x14ac:dyDescent="0.25">
      <c r="A7" s="30" t="s">
        <v>13</v>
      </c>
      <c r="B7" s="30">
        <v>42075</v>
      </c>
    </row>
    <row r="8" spans="1:15" x14ac:dyDescent="0.25">
      <c r="A8" s="28" t="s">
        <v>14</v>
      </c>
      <c r="B8" s="28">
        <v>21</v>
      </c>
      <c r="C8" s="28" t="s">
        <v>667</v>
      </c>
      <c r="D8" s="28"/>
      <c r="E8" s="28"/>
      <c r="F8" s="28"/>
      <c r="G8" s="28"/>
      <c r="H8" s="28"/>
      <c r="I8" s="222"/>
      <c r="J8" s="28"/>
      <c r="K8" s="28" t="s">
        <v>34</v>
      </c>
      <c r="L8" s="28" t="s">
        <v>34</v>
      </c>
      <c r="M8" s="28"/>
      <c r="N8" s="28"/>
      <c r="O8" s="28"/>
    </row>
    <row r="9" spans="1:15" x14ac:dyDescent="0.25">
      <c r="A9" s="28" t="s">
        <v>15</v>
      </c>
      <c r="B9" s="28">
        <v>10</v>
      </c>
      <c r="C9" s="28" t="s">
        <v>240</v>
      </c>
      <c r="D9" s="28"/>
      <c r="E9" s="28"/>
      <c r="F9" s="28"/>
      <c r="G9" s="28"/>
      <c r="H9" s="28"/>
      <c r="I9" s="222"/>
      <c r="J9" s="28"/>
      <c r="K9" s="28"/>
      <c r="L9" s="28"/>
      <c r="M9" s="28"/>
      <c r="N9" s="28"/>
      <c r="O9" s="28"/>
    </row>
    <row r="10" spans="1:15" x14ac:dyDescent="0.25">
      <c r="A10" s="28" t="s">
        <v>16</v>
      </c>
      <c r="B10" s="31">
        <v>1900</v>
      </c>
      <c r="C10" s="28" t="s">
        <v>695</v>
      </c>
      <c r="D10" s="28"/>
      <c r="E10" s="28"/>
      <c r="F10" s="28"/>
      <c r="G10" s="28"/>
      <c r="H10" s="28"/>
      <c r="I10" s="222" t="s">
        <v>34</v>
      </c>
      <c r="J10" s="28" t="s">
        <v>34</v>
      </c>
      <c r="K10" s="28" t="s">
        <v>34</v>
      </c>
      <c r="L10" s="28" t="s">
        <v>34</v>
      </c>
      <c r="M10" s="28" t="s">
        <v>34</v>
      </c>
      <c r="N10" s="28" t="s">
        <v>34</v>
      </c>
      <c r="O10" s="28"/>
    </row>
    <row r="11" spans="1:15" x14ac:dyDescent="0.25">
      <c r="A11" s="28"/>
      <c r="B11" s="31" t="s">
        <v>661</v>
      </c>
      <c r="C11" s="28"/>
      <c r="D11" s="28"/>
      <c r="E11" s="28"/>
      <c r="F11" s="28"/>
      <c r="G11" s="28"/>
      <c r="H11" s="28"/>
      <c r="I11" s="222"/>
      <c r="J11" s="28"/>
      <c r="K11" s="28" t="s">
        <v>34</v>
      </c>
      <c r="L11" s="28"/>
      <c r="M11" s="28"/>
      <c r="N11" s="28"/>
      <c r="O11" s="28"/>
    </row>
    <row r="12" spans="1:15" x14ac:dyDescent="0.25">
      <c r="A12" s="28"/>
      <c r="B12" s="31">
        <v>65</v>
      </c>
      <c r="C12" s="28" t="s">
        <v>694</v>
      </c>
      <c r="D12" s="28"/>
      <c r="E12" s="28"/>
      <c r="F12" s="28"/>
      <c r="G12" s="28"/>
      <c r="H12" s="28"/>
      <c r="I12" s="222"/>
      <c r="J12" s="28"/>
      <c r="K12" s="28"/>
      <c r="L12" s="28"/>
      <c r="M12" s="28"/>
      <c r="N12" s="28"/>
      <c r="O12" s="28"/>
    </row>
    <row r="13" spans="1:15" x14ac:dyDescent="0.25">
      <c r="A13" s="28"/>
      <c r="B13" s="31">
        <v>8.25</v>
      </c>
      <c r="C13" s="28" t="s">
        <v>697</v>
      </c>
      <c r="D13" s="28"/>
      <c r="E13" s="28"/>
      <c r="F13" s="28"/>
      <c r="G13" s="28"/>
      <c r="H13" s="28"/>
      <c r="I13" s="231"/>
      <c r="J13" s="28"/>
      <c r="K13" s="28"/>
      <c r="L13" s="28"/>
      <c r="M13" s="28"/>
      <c r="N13" s="28"/>
      <c r="O13" s="28"/>
    </row>
    <row r="14" spans="1:15" x14ac:dyDescent="0.25">
      <c r="A14" s="28"/>
      <c r="B14" s="31">
        <v>200</v>
      </c>
      <c r="C14" s="87" t="s">
        <v>696</v>
      </c>
      <c r="D14" s="28"/>
      <c r="E14" s="28"/>
      <c r="F14" s="28"/>
      <c r="G14" s="28"/>
      <c r="H14" s="28"/>
      <c r="I14" s="231"/>
      <c r="J14" s="28"/>
      <c r="K14" s="28"/>
      <c r="L14" s="28"/>
      <c r="M14" s="28"/>
      <c r="N14" s="28"/>
      <c r="O14" s="28"/>
    </row>
    <row r="15" spans="1:15" x14ac:dyDescent="0.25">
      <c r="A15" s="28"/>
      <c r="B15" s="31">
        <v>125</v>
      </c>
      <c r="C15" s="87" t="s">
        <v>698</v>
      </c>
      <c r="D15" s="28"/>
      <c r="E15" s="28"/>
      <c r="F15" s="28"/>
      <c r="G15" s="28"/>
      <c r="H15" s="28"/>
      <c r="I15" s="231"/>
      <c r="J15" s="28"/>
      <c r="K15" s="28"/>
      <c r="L15" s="28"/>
      <c r="M15" s="28"/>
      <c r="N15" s="28"/>
      <c r="O15" s="28"/>
    </row>
    <row r="16" spans="1:15" x14ac:dyDescent="0.25">
      <c r="A16" s="28"/>
      <c r="B16" s="232">
        <f>(B12*B13/100*1000)/(B10+65-B14+B15)*1000</f>
        <v>2837.3015873015875</v>
      </c>
      <c r="C16" s="28" t="s">
        <v>700</v>
      </c>
      <c r="D16" s="28"/>
      <c r="E16" s="28"/>
      <c r="F16" s="28"/>
      <c r="G16" s="28"/>
      <c r="H16" s="28"/>
      <c r="I16" s="231"/>
      <c r="J16" s="28"/>
      <c r="K16" s="28"/>
      <c r="L16" s="28"/>
      <c r="M16" s="28"/>
      <c r="N16" s="28"/>
      <c r="O16" s="28"/>
    </row>
    <row r="17" spans="1:19" ht="16.5" thickBot="1" x14ac:dyDescent="0.35">
      <c r="A17" s="28"/>
      <c r="B17" s="28" t="s">
        <v>668</v>
      </c>
      <c r="C17" s="28"/>
      <c r="D17" s="28"/>
      <c r="E17" s="28"/>
      <c r="F17" s="28"/>
      <c r="G17" s="28"/>
      <c r="H17" s="28"/>
      <c r="I17" s="222"/>
      <c r="J17" s="28"/>
      <c r="K17" s="28"/>
      <c r="L17" s="28"/>
      <c r="M17" s="28"/>
      <c r="N17" s="28"/>
      <c r="O17" s="28"/>
    </row>
    <row r="18" spans="1:19" ht="90" thickBot="1" x14ac:dyDescent="0.3">
      <c r="A18" s="10" t="s">
        <v>29</v>
      </c>
      <c r="B18" s="11" t="s">
        <v>680</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19" ht="15.75" thickBot="1" x14ac:dyDescent="0.3">
      <c r="A19" s="32">
        <v>0</v>
      </c>
      <c r="B19" s="51">
        <v>5</v>
      </c>
      <c r="C19" s="182">
        <v>7.41</v>
      </c>
      <c r="D19" s="23">
        <v>7.31</v>
      </c>
      <c r="E19" s="23">
        <v>0.52</v>
      </c>
      <c r="F19" s="23">
        <v>0.37</v>
      </c>
      <c r="G19" s="23">
        <v>438</v>
      </c>
      <c r="H19" s="23">
        <v>544</v>
      </c>
      <c r="I19" s="33">
        <v>67000000</v>
      </c>
      <c r="J19" s="125">
        <f>LOG(I$19)-LOG(I19)</f>
        <v>0</v>
      </c>
      <c r="K19" s="33" t="s">
        <v>35</v>
      </c>
      <c r="L19" s="23" t="s">
        <v>26</v>
      </c>
      <c r="M19" s="23" t="s">
        <v>26</v>
      </c>
      <c r="N19" s="23" t="s">
        <v>26</v>
      </c>
      <c r="O19" s="23" t="s">
        <v>26</v>
      </c>
      <c r="P19" s="233">
        <f>B$16*A19</f>
        <v>0</v>
      </c>
      <c r="Q19" s="233">
        <f>6/LINEST(J19:J21,P19:P21,FALSE)</f>
        <v>26568.431469385105</v>
      </c>
      <c r="R19" s="233">
        <f>Q19/3000</f>
        <v>8.8561438231283685</v>
      </c>
      <c r="S19" s="233">
        <f>(J28/LINEST($J19:$J21,$P19:$P21,FALSE))/$B$16</f>
        <v>12.173172236881902</v>
      </c>
    </row>
    <row r="20" spans="1:19" ht="15.75" thickBot="1" x14ac:dyDescent="0.3">
      <c r="A20" s="32">
        <v>5</v>
      </c>
      <c r="B20" s="125">
        <v>4.7</v>
      </c>
      <c r="C20" s="50">
        <v>7</v>
      </c>
      <c r="D20" s="24">
        <v>7.01</v>
      </c>
      <c r="E20" s="24">
        <v>5000</v>
      </c>
      <c r="F20" s="24">
        <v>0.33</v>
      </c>
      <c r="G20" s="24">
        <v>237</v>
      </c>
      <c r="H20" s="23" t="s">
        <v>26</v>
      </c>
      <c r="I20" s="33">
        <v>18000</v>
      </c>
      <c r="J20" s="125">
        <f>LOG(I$19)-LOG(I20)</f>
        <v>3.5708022975975195</v>
      </c>
      <c r="K20" s="33" t="s">
        <v>35</v>
      </c>
      <c r="L20" s="23" t="s">
        <v>26</v>
      </c>
      <c r="M20" s="23" t="s">
        <v>26</v>
      </c>
      <c r="N20" s="23" t="s">
        <v>26</v>
      </c>
      <c r="O20" s="23" t="s">
        <v>26</v>
      </c>
      <c r="P20" s="233">
        <f>B$16*A20</f>
        <v>14186.507936507936</v>
      </c>
      <c r="Q20" s="228"/>
    </row>
    <row r="21" spans="1:19" ht="15.75" thickBot="1" x14ac:dyDescent="0.3">
      <c r="A21" s="32">
        <v>10</v>
      </c>
      <c r="B21" s="125">
        <v>4.3</v>
      </c>
      <c r="C21" s="24">
        <v>6.99</v>
      </c>
      <c r="D21" s="50">
        <v>7.02</v>
      </c>
      <c r="E21" s="24">
        <v>4000</v>
      </c>
      <c r="F21" s="24">
        <v>0.45</v>
      </c>
      <c r="G21" s="24">
        <v>350</v>
      </c>
      <c r="H21" s="23" t="s">
        <v>26</v>
      </c>
      <c r="I21" s="33">
        <v>40</v>
      </c>
      <c r="J21" s="125">
        <f>LOG(I$19)-LOG(I21)</f>
        <v>6.2240148113728635</v>
      </c>
      <c r="K21" s="33" t="s">
        <v>35</v>
      </c>
      <c r="L21" s="23" t="s">
        <v>26</v>
      </c>
      <c r="M21" s="23" t="s">
        <v>26</v>
      </c>
      <c r="N21" s="23" t="s">
        <v>26</v>
      </c>
      <c r="O21" s="23" t="s">
        <v>26</v>
      </c>
      <c r="P21" s="233">
        <f>B$16*A21</f>
        <v>28373.015873015873</v>
      </c>
      <c r="Q21" s="228"/>
    </row>
    <row r="22" spans="1:19" ht="15.75" thickBot="1" x14ac:dyDescent="0.3">
      <c r="A22" s="32">
        <v>20</v>
      </c>
      <c r="B22" s="125">
        <v>4</v>
      </c>
      <c r="C22" s="24">
        <v>6.99</v>
      </c>
      <c r="D22" s="24">
        <v>7.02</v>
      </c>
      <c r="E22" s="24">
        <v>4000</v>
      </c>
      <c r="F22" s="24">
        <v>0.39</v>
      </c>
      <c r="G22" s="24">
        <v>345</v>
      </c>
      <c r="H22" s="23" t="s">
        <v>26</v>
      </c>
      <c r="I22" s="33">
        <v>0</v>
      </c>
      <c r="J22" s="24" t="s">
        <v>520</v>
      </c>
      <c r="K22" s="33" t="s">
        <v>35</v>
      </c>
      <c r="L22" s="23" t="s">
        <v>26</v>
      </c>
      <c r="M22" s="23" t="s">
        <v>26</v>
      </c>
      <c r="N22" s="23" t="s">
        <v>26</v>
      </c>
      <c r="O22" s="23" t="s">
        <v>26</v>
      </c>
      <c r="P22" s="233"/>
      <c r="Q22" s="228"/>
    </row>
    <row r="23" spans="1:19" ht="15.75" thickBot="1" x14ac:dyDescent="0.3">
      <c r="A23" s="32">
        <v>30</v>
      </c>
      <c r="B23" s="125">
        <v>4.2</v>
      </c>
      <c r="C23" s="50">
        <v>6.98</v>
      </c>
      <c r="D23" s="24">
        <v>7.01</v>
      </c>
      <c r="E23" s="24">
        <v>3000</v>
      </c>
      <c r="F23" s="24">
        <v>0.28000000000000003</v>
      </c>
      <c r="G23" s="24">
        <v>230</v>
      </c>
      <c r="H23" s="23" t="s">
        <v>26</v>
      </c>
      <c r="I23" s="33">
        <v>0</v>
      </c>
      <c r="J23" s="24" t="s">
        <v>520</v>
      </c>
      <c r="K23" s="33" t="s">
        <v>35</v>
      </c>
      <c r="L23" s="23" t="s">
        <v>26</v>
      </c>
      <c r="M23" s="23" t="s">
        <v>26</v>
      </c>
      <c r="N23" s="23" t="s">
        <v>26</v>
      </c>
      <c r="O23" s="23" t="s">
        <v>26</v>
      </c>
      <c r="P23" s="233"/>
      <c r="Q23" s="228"/>
    </row>
    <row r="24" spans="1:19" ht="15.75" thickBot="1" x14ac:dyDescent="0.3">
      <c r="A24" s="32">
        <v>60</v>
      </c>
      <c r="B24" s="125">
        <v>4.4000000000000004</v>
      </c>
      <c r="C24" s="50">
        <v>6.98</v>
      </c>
      <c r="D24" s="24">
        <v>7.03</v>
      </c>
      <c r="E24" s="24">
        <v>2000</v>
      </c>
      <c r="F24" s="58">
        <v>0.09</v>
      </c>
      <c r="G24" s="24">
        <v>264</v>
      </c>
      <c r="H24" s="23" t="s">
        <v>26</v>
      </c>
      <c r="I24" s="33">
        <v>0</v>
      </c>
      <c r="J24" s="24" t="s">
        <v>520</v>
      </c>
      <c r="K24" s="33" t="s">
        <v>35</v>
      </c>
      <c r="L24" s="23" t="s">
        <v>26</v>
      </c>
      <c r="M24" s="23" t="s">
        <v>26</v>
      </c>
      <c r="N24" s="23" t="s">
        <v>26</v>
      </c>
      <c r="O24" s="23" t="s">
        <v>26</v>
      </c>
      <c r="P24" s="233"/>
      <c r="Q24" s="228"/>
    </row>
    <row r="25" spans="1:19" ht="15.75" thickBot="1" x14ac:dyDescent="0.3">
      <c r="A25" s="32">
        <v>120</v>
      </c>
      <c r="B25" s="125">
        <v>4.5999999999999996</v>
      </c>
      <c r="C25" s="24">
        <v>6.97</v>
      </c>
      <c r="D25" s="24">
        <v>7.04</v>
      </c>
      <c r="E25" s="24">
        <v>5000</v>
      </c>
      <c r="F25" s="100">
        <v>0.55000000000000004</v>
      </c>
      <c r="G25" s="24">
        <v>311</v>
      </c>
      <c r="H25" s="23" t="s">
        <v>26</v>
      </c>
      <c r="I25" s="33">
        <v>0</v>
      </c>
      <c r="J25" s="24" t="s">
        <v>520</v>
      </c>
      <c r="K25" s="33" t="s">
        <v>35</v>
      </c>
      <c r="L25" s="23" t="s">
        <v>26</v>
      </c>
      <c r="M25" s="23" t="s">
        <v>26</v>
      </c>
      <c r="N25" s="23" t="s">
        <v>26</v>
      </c>
      <c r="O25" s="23" t="s">
        <v>26</v>
      </c>
      <c r="P25" s="233"/>
      <c r="Q25" s="228"/>
    </row>
    <row r="26" spans="1:19" ht="15.75" thickBot="1" x14ac:dyDescent="0.3">
      <c r="A26" s="32">
        <v>180</v>
      </c>
      <c r="B26" s="125">
        <v>4.9000000000000004</v>
      </c>
      <c r="C26" s="50">
        <v>6.95</v>
      </c>
      <c r="D26" s="50">
        <v>7.03</v>
      </c>
      <c r="E26" s="24">
        <v>2000</v>
      </c>
      <c r="F26" s="58">
        <v>0.42</v>
      </c>
      <c r="G26" s="24">
        <v>228</v>
      </c>
      <c r="H26" s="23" t="s">
        <v>26</v>
      </c>
      <c r="I26" s="33">
        <v>0</v>
      </c>
      <c r="J26" s="24" t="s">
        <v>520</v>
      </c>
      <c r="K26" s="33" t="s">
        <v>35</v>
      </c>
      <c r="L26" s="23" t="s">
        <v>26</v>
      </c>
      <c r="M26" s="23" t="s">
        <v>26</v>
      </c>
      <c r="N26" s="23" t="s">
        <v>26</v>
      </c>
      <c r="O26" s="23" t="s">
        <v>26</v>
      </c>
      <c r="P26" s="233"/>
      <c r="Q26" s="228"/>
    </row>
    <row r="27" spans="1:19" ht="15.75" thickBot="1" x14ac:dyDescent="0.3">
      <c r="A27" s="32">
        <v>240</v>
      </c>
      <c r="B27" s="125">
        <v>2.6</v>
      </c>
      <c r="C27" s="24">
        <v>6.96</v>
      </c>
      <c r="D27" s="50">
        <v>7.03</v>
      </c>
      <c r="E27" s="24">
        <v>1000</v>
      </c>
      <c r="F27" s="58">
        <v>0.32</v>
      </c>
      <c r="G27" s="24">
        <v>227</v>
      </c>
      <c r="H27" s="24">
        <v>210</v>
      </c>
      <c r="I27" s="33">
        <v>0</v>
      </c>
      <c r="J27" s="24" t="s">
        <v>520</v>
      </c>
      <c r="K27" s="33" t="s">
        <v>35</v>
      </c>
      <c r="L27" s="23" t="s">
        <v>26</v>
      </c>
      <c r="M27" s="36">
        <v>177.7</v>
      </c>
      <c r="N27" s="36">
        <v>10735.4</v>
      </c>
      <c r="O27" s="27">
        <v>1067</v>
      </c>
      <c r="P27" s="220"/>
    </row>
    <row r="28" spans="1:19" x14ac:dyDescent="0.25">
      <c r="B28" s="108">
        <f>AVERAGE(B20:B21)</f>
        <v>4.5</v>
      </c>
      <c r="C28" s="108">
        <f>AVERAGE(C20:C21)</f>
        <v>6.9950000000000001</v>
      </c>
      <c r="E28" s="155">
        <f>AVERAGE(E20:E26)</f>
        <v>3571.4285714285716</v>
      </c>
      <c r="F28" s="155">
        <f>_xlfn.STDEV.P(E20:E26)</f>
        <v>1178.0301787479029</v>
      </c>
      <c r="J28">
        <v>7.8</v>
      </c>
      <c r="N28" s="28"/>
      <c r="O28" s="28"/>
    </row>
    <row r="29" spans="1:19" x14ac:dyDescent="0.25">
      <c r="A29" s="28" t="s">
        <v>140</v>
      </c>
      <c r="B29" s="28"/>
      <c r="C29" s="28"/>
      <c r="D29" s="28"/>
      <c r="E29" s="28"/>
      <c r="F29" s="28"/>
      <c r="G29" s="28"/>
      <c r="H29" s="28"/>
      <c r="I29" s="222"/>
      <c r="J29" s="28"/>
      <c r="K29" s="28"/>
      <c r="L29" s="28"/>
      <c r="M29" s="28"/>
      <c r="N29" s="28"/>
      <c r="O29" s="28"/>
    </row>
    <row r="30" spans="1:19" x14ac:dyDescent="0.25">
      <c r="A30" s="28"/>
      <c r="B30" s="28" t="s">
        <v>141</v>
      </c>
      <c r="C30" s="28"/>
      <c r="D30" s="28"/>
      <c r="E30" s="28"/>
      <c r="F30" s="28"/>
      <c r="G30" s="28"/>
      <c r="H30" s="28"/>
      <c r="I30" s="222"/>
      <c r="J30" s="28"/>
      <c r="K30" s="28"/>
      <c r="L30" s="28"/>
      <c r="M30" s="28"/>
      <c r="N30" s="28" t="s">
        <v>34</v>
      </c>
      <c r="O30" s="28"/>
    </row>
    <row r="31" spans="1:19" x14ac:dyDescent="0.25">
      <c r="A31" s="28" t="s">
        <v>264</v>
      </c>
      <c r="B31" s="28"/>
      <c r="C31" s="28"/>
      <c r="D31" s="28"/>
      <c r="E31" s="28"/>
      <c r="F31" s="28"/>
      <c r="G31" s="28"/>
      <c r="H31" s="28"/>
      <c r="I31" s="222"/>
      <c r="J31" s="28" t="s">
        <v>34</v>
      </c>
      <c r="K31" s="28"/>
      <c r="L31" s="28" t="s">
        <v>34</v>
      </c>
      <c r="M31" s="28"/>
      <c r="N31" s="28"/>
      <c r="O31" s="28"/>
      <c r="R31" s="225"/>
    </row>
    <row r="32" spans="1:19" x14ac:dyDescent="0.25">
      <c r="A32" s="59"/>
      <c r="F32" s="28"/>
      <c r="G32" s="28"/>
      <c r="H32" s="28"/>
      <c r="I32" s="222"/>
      <c r="J32" s="28"/>
      <c r="K32" s="28"/>
      <c r="L32" s="28" t="s">
        <v>34</v>
      </c>
      <c r="M32" s="28" t="s">
        <v>34</v>
      </c>
      <c r="N32" s="28"/>
      <c r="O32" s="28"/>
      <c r="R32" s="224"/>
    </row>
    <row r="33" spans="1:18" x14ac:dyDescent="0.25">
      <c r="A33" s="19" t="s">
        <v>28</v>
      </c>
      <c r="B33" s="28"/>
      <c r="C33" s="28"/>
      <c r="D33" s="28"/>
      <c r="E33" s="28"/>
      <c r="F33" s="28"/>
      <c r="G33" s="28"/>
      <c r="H33" s="28"/>
      <c r="I33" s="222"/>
      <c r="J33" s="28"/>
      <c r="K33" s="28" t="s">
        <v>34</v>
      </c>
      <c r="L33" s="28"/>
      <c r="M33" s="28" t="s">
        <v>34</v>
      </c>
      <c r="N33" s="28"/>
      <c r="O33" s="28"/>
    </row>
    <row r="34" spans="1:18" x14ac:dyDescent="0.25">
      <c r="A34" s="28"/>
      <c r="B34" s="22"/>
      <c r="C34" s="28"/>
      <c r="D34" s="28"/>
      <c r="E34" s="28"/>
      <c r="F34" s="28"/>
      <c r="G34" s="28"/>
      <c r="H34" s="28"/>
      <c r="I34" s="222"/>
      <c r="J34" s="28"/>
      <c r="K34" s="28"/>
      <c r="L34" s="28" t="s">
        <v>34</v>
      </c>
      <c r="M34" s="28" t="s">
        <v>34</v>
      </c>
      <c r="N34" s="28"/>
      <c r="O34" s="28"/>
      <c r="R34" s="224"/>
    </row>
    <row r="35" spans="1:18" x14ac:dyDescent="0.25">
      <c r="A35" s="28"/>
      <c r="B35" s="189"/>
      <c r="C35" s="189"/>
      <c r="D35" s="189"/>
      <c r="E35" s="28"/>
      <c r="F35" s="189"/>
      <c r="G35" s="189"/>
      <c r="H35" s="189"/>
      <c r="I35" s="189"/>
      <c r="J35" s="189"/>
      <c r="K35" s="189"/>
      <c r="L35" s="189" t="s">
        <v>34</v>
      </c>
      <c r="M35" s="28"/>
      <c r="N35" s="28"/>
      <c r="O35" s="28"/>
    </row>
    <row r="36" spans="1:18" x14ac:dyDescent="0.25">
      <c r="A36" s="28"/>
      <c r="B36" s="189"/>
      <c r="C36" s="189"/>
      <c r="D36" s="189"/>
      <c r="E36" s="189"/>
      <c r="F36" s="189"/>
      <c r="G36" s="189"/>
      <c r="H36" s="189"/>
      <c r="I36" s="189"/>
      <c r="J36" s="189"/>
      <c r="K36" s="189"/>
      <c r="L36" s="189"/>
      <c r="M36" s="28"/>
      <c r="N36" s="28"/>
      <c r="O36" s="28"/>
    </row>
    <row r="37" spans="1:18" x14ac:dyDescent="0.25">
      <c r="A37" s="28"/>
      <c r="B37" s="22"/>
      <c r="C37" s="28"/>
      <c r="D37" s="28"/>
      <c r="E37" s="28"/>
      <c r="F37" s="28"/>
      <c r="G37" s="28"/>
      <c r="H37" s="28"/>
      <c r="I37" s="222"/>
      <c r="J37" s="28"/>
      <c r="K37" s="28"/>
      <c r="L37" s="28"/>
      <c r="M37" s="28" t="s">
        <v>34</v>
      </c>
      <c r="N37" s="28"/>
      <c r="O37" s="28"/>
    </row>
    <row r="38" spans="1:18" x14ac:dyDescent="0.25">
      <c r="A38" s="28"/>
      <c r="B38" s="189"/>
      <c r="C38" s="189"/>
      <c r="D38" s="189"/>
      <c r="E38" s="189"/>
      <c r="F38" s="189"/>
      <c r="G38" s="189"/>
      <c r="H38" s="189"/>
      <c r="I38" s="189"/>
      <c r="J38" s="189"/>
      <c r="K38" s="189"/>
      <c r="M38" s="28"/>
      <c r="N38" s="28"/>
      <c r="O38" s="28"/>
    </row>
    <row r="39" spans="1:18" x14ac:dyDescent="0.25">
      <c r="A39" s="28"/>
      <c r="B39" s="189"/>
      <c r="C39" s="189"/>
      <c r="D39" s="189"/>
      <c r="E39" s="189"/>
      <c r="F39" s="189"/>
      <c r="G39" s="189"/>
      <c r="H39" s="189"/>
      <c r="I39" s="189"/>
      <c r="J39" s="189"/>
      <c r="K39" s="189"/>
      <c r="M39" s="28"/>
      <c r="N39" s="28"/>
      <c r="O39" s="28"/>
    </row>
    <row r="40" spans="1:18" x14ac:dyDescent="0.25">
      <c r="A40" s="28"/>
      <c r="B40" s="69"/>
      <c r="C40" s="87"/>
      <c r="D40" s="87"/>
      <c r="E40" s="87"/>
      <c r="F40" s="87"/>
      <c r="G40" s="87"/>
      <c r="H40" s="87"/>
      <c r="I40" s="88"/>
      <c r="J40" s="87"/>
      <c r="K40" s="87"/>
      <c r="L40" s="28"/>
      <c r="M40" s="28"/>
      <c r="N40" s="28"/>
      <c r="O40" s="28"/>
    </row>
    <row r="41" spans="1:18" x14ac:dyDescent="0.25">
      <c r="A41" s="28"/>
      <c r="B41" s="75"/>
      <c r="C41" s="28"/>
      <c r="D41" s="28"/>
      <c r="E41" s="28"/>
      <c r="F41" s="28"/>
      <c r="G41" s="28"/>
      <c r="H41" s="28"/>
      <c r="I41" s="222"/>
      <c r="J41" s="28"/>
      <c r="K41" s="28"/>
      <c r="N41" s="28"/>
      <c r="O41" s="28"/>
    </row>
    <row r="42" spans="1:18" x14ac:dyDescent="0.25">
      <c r="A42" s="28"/>
      <c r="B42" s="22"/>
      <c r="L42" s="28"/>
      <c r="N42" s="28"/>
      <c r="O42" s="28"/>
    </row>
    <row r="43" spans="1:18" x14ac:dyDescent="0.25">
      <c r="A43" s="28"/>
      <c r="B43" s="22"/>
      <c r="L43" s="28"/>
      <c r="N43" s="28"/>
      <c r="O43" s="28" t="s">
        <v>34</v>
      </c>
    </row>
    <row r="44" spans="1:18" x14ac:dyDescent="0.25">
      <c r="A44" s="28"/>
      <c r="B44" s="22"/>
      <c r="L44" s="28"/>
      <c r="M44" s="28"/>
      <c r="N44" s="28"/>
      <c r="O44" s="28"/>
    </row>
    <row r="45" spans="1:18" x14ac:dyDescent="0.25">
      <c r="B45" s="189"/>
      <c r="C45" s="64"/>
      <c r="D45" s="64"/>
      <c r="E45" s="64"/>
      <c r="F45" s="64"/>
      <c r="G45" s="64"/>
      <c r="H45" s="64"/>
      <c r="I45" s="64"/>
      <c r="J45" s="64"/>
      <c r="K45" s="64"/>
      <c r="L45" s="65"/>
      <c r="M45" s="28"/>
      <c r="N45" s="28"/>
      <c r="O45" s="28"/>
    </row>
    <row r="46" spans="1:18" x14ac:dyDescent="0.25">
      <c r="B46" s="189"/>
    </row>
    <row r="47" spans="1:18" x14ac:dyDescent="0.25">
      <c r="B47" s="22"/>
      <c r="C47" s="28"/>
      <c r="D47" s="28"/>
      <c r="E47" s="28"/>
      <c r="F47" s="28"/>
      <c r="G47" s="28"/>
      <c r="H47" s="28"/>
      <c r="I47" s="222"/>
      <c r="J47" s="28"/>
    </row>
    <row r="48" spans="1:18" x14ac:dyDescent="0.25">
      <c r="B48" s="189"/>
      <c r="C48" s="64"/>
      <c r="D48" s="64"/>
      <c r="E48" s="64"/>
      <c r="F48" s="64"/>
      <c r="G48" s="64"/>
      <c r="H48" s="64"/>
      <c r="I48" s="64"/>
      <c r="J48" s="64"/>
      <c r="K48" s="64"/>
      <c r="L48" s="65"/>
      <c r="O48" t="s">
        <v>34</v>
      </c>
    </row>
    <row r="49" spans="2:14" x14ac:dyDescent="0.25">
      <c r="B49" s="189"/>
      <c r="C49" s="189"/>
      <c r="D49" s="189"/>
      <c r="E49" s="189"/>
      <c r="F49" s="189"/>
      <c r="G49" s="189"/>
      <c r="H49" s="189"/>
      <c r="I49" s="189"/>
      <c r="J49" s="189"/>
      <c r="K49" s="189"/>
      <c r="N49" t="s">
        <v>34</v>
      </c>
    </row>
    <row r="50" spans="2:14" x14ac:dyDescent="0.25">
      <c r="B50" s="189"/>
      <c r="C50" s="189"/>
      <c r="D50" s="189"/>
      <c r="E50" s="189"/>
      <c r="F50" s="189"/>
      <c r="G50" s="189"/>
      <c r="H50" s="189"/>
      <c r="I50" s="189"/>
      <c r="J50" s="189"/>
      <c r="K50" s="189"/>
    </row>
    <row r="51" spans="2:14" x14ac:dyDescent="0.25">
      <c r="B51" s="22"/>
      <c r="C51" s="28"/>
      <c r="D51" s="28"/>
      <c r="E51" s="28"/>
      <c r="F51" s="28"/>
      <c r="G51" s="28"/>
      <c r="H51" s="222"/>
      <c r="I51" s="28"/>
      <c r="J51" s="189"/>
      <c r="K51" s="28"/>
    </row>
    <row r="52" spans="2:14" x14ac:dyDescent="0.25">
      <c r="N52" t="s">
        <v>34</v>
      </c>
    </row>
  </sheetData>
  <pageMargins left="0.7" right="0.7" top="0.75" bottom="0.75" header="0.3" footer="0.3"/>
  <pageSetup scale="61" orientation="landscape" verticalDpi="597" r:id="rId1"/>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rgb="FF0000CC"/>
    <pageSetUpPr fitToPage="1"/>
  </sheetPr>
  <dimension ref="A6:S52"/>
  <sheetViews>
    <sheetView zoomScale="90" zoomScaleNormal="90" workbookViewId="0"/>
  </sheetViews>
  <sheetFormatPr defaultRowHeight="15" x14ac:dyDescent="0.25"/>
  <cols>
    <col min="2" max="2" width="10" customWidth="1"/>
    <col min="9" max="9" width="10.28515625" bestFit="1" customWidth="1"/>
    <col min="11" max="11" width="8.42578125" bestFit="1" customWidth="1"/>
    <col min="18" max="18" width="17.28515625" customWidth="1"/>
    <col min="19" max="19" width="13" bestFit="1" customWidth="1"/>
  </cols>
  <sheetData>
    <row r="6" spans="1:15" x14ac:dyDescent="0.25">
      <c r="A6" s="7" t="s">
        <v>12</v>
      </c>
      <c r="B6" s="28"/>
      <c r="C6" s="28"/>
      <c r="D6" s="28"/>
      <c r="E6" s="28"/>
      <c r="F6" s="28"/>
      <c r="G6" s="28"/>
      <c r="H6" s="28"/>
      <c r="I6" s="222"/>
      <c r="J6" s="28"/>
      <c r="K6" s="28"/>
      <c r="L6" s="28"/>
      <c r="M6" s="28"/>
      <c r="N6" s="28"/>
      <c r="O6" s="28"/>
    </row>
    <row r="7" spans="1:15" x14ac:dyDescent="0.25">
      <c r="A7" s="30" t="s">
        <v>13</v>
      </c>
      <c r="B7" s="30">
        <v>42080</v>
      </c>
    </row>
    <row r="8" spans="1:15" x14ac:dyDescent="0.25">
      <c r="A8" s="28" t="s">
        <v>14</v>
      </c>
      <c r="B8" s="28">
        <v>21</v>
      </c>
      <c r="C8" s="28" t="s">
        <v>669</v>
      </c>
      <c r="D8" s="28"/>
      <c r="E8" s="28"/>
      <c r="F8" s="28"/>
      <c r="G8" s="28"/>
      <c r="H8" s="28"/>
      <c r="I8" s="222"/>
      <c r="J8" s="28"/>
      <c r="K8" s="28" t="s">
        <v>34</v>
      </c>
      <c r="L8" s="28" t="s">
        <v>34</v>
      </c>
      <c r="M8" s="28"/>
      <c r="N8" s="28"/>
      <c r="O8" s="28"/>
    </row>
    <row r="9" spans="1:15" x14ac:dyDescent="0.25">
      <c r="A9" s="28" t="s">
        <v>15</v>
      </c>
      <c r="B9" s="28">
        <v>10</v>
      </c>
      <c r="C9" s="28" t="s">
        <v>240</v>
      </c>
      <c r="D9" s="28"/>
      <c r="E9" s="28"/>
      <c r="F9" s="28"/>
      <c r="G9" s="28"/>
      <c r="H9" s="28"/>
      <c r="I9" s="222"/>
      <c r="J9" s="28"/>
      <c r="K9" s="28"/>
      <c r="L9" s="28"/>
      <c r="M9" s="28"/>
      <c r="N9" s="28"/>
      <c r="O9" s="28"/>
    </row>
    <row r="10" spans="1:15" x14ac:dyDescent="0.25">
      <c r="A10" s="28" t="s">
        <v>16</v>
      </c>
      <c r="B10" s="31">
        <v>2000</v>
      </c>
      <c r="C10" s="28" t="s">
        <v>695</v>
      </c>
      <c r="D10" s="28"/>
      <c r="E10" s="28"/>
      <c r="F10" s="28"/>
      <c r="G10" s="28"/>
      <c r="H10" s="28"/>
      <c r="I10" s="222" t="s">
        <v>34</v>
      </c>
      <c r="J10" s="28" t="s">
        <v>34</v>
      </c>
      <c r="K10" s="28" t="s">
        <v>34</v>
      </c>
      <c r="L10" s="28" t="s">
        <v>34</v>
      </c>
      <c r="M10" s="28" t="s">
        <v>34</v>
      </c>
      <c r="N10" s="28" t="s">
        <v>34</v>
      </c>
      <c r="O10" s="28"/>
    </row>
    <row r="11" spans="1:15" x14ac:dyDescent="0.25">
      <c r="A11" s="28"/>
      <c r="B11" s="31" t="s">
        <v>661</v>
      </c>
      <c r="C11" s="28"/>
      <c r="D11" s="28"/>
      <c r="E11" s="28"/>
      <c r="F11" s="28"/>
      <c r="G11" s="28"/>
      <c r="H11" s="28"/>
      <c r="I11" s="222"/>
      <c r="J11" s="28"/>
      <c r="K11" s="28" t="s">
        <v>34</v>
      </c>
      <c r="L11" s="28"/>
      <c r="M11" s="28"/>
      <c r="N11" s="28"/>
      <c r="O11" s="28"/>
    </row>
    <row r="12" spans="1:15" x14ac:dyDescent="0.25">
      <c r="A12" s="28"/>
      <c r="B12" s="31">
        <v>65</v>
      </c>
      <c r="C12" s="28" t="s">
        <v>694</v>
      </c>
      <c r="D12" s="28"/>
      <c r="E12" s="28"/>
      <c r="F12" s="28"/>
      <c r="G12" s="28"/>
      <c r="H12" s="28"/>
      <c r="I12" s="222"/>
      <c r="J12" s="28"/>
      <c r="K12" s="28"/>
      <c r="L12" s="28"/>
      <c r="M12" s="28"/>
      <c r="N12" s="28"/>
      <c r="O12" s="28"/>
    </row>
    <row r="13" spans="1:15" x14ac:dyDescent="0.25">
      <c r="A13" s="28"/>
      <c r="B13" s="31">
        <v>8.25</v>
      </c>
      <c r="C13" s="28" t="s">
        <v>697</v>
      </c>
      <c r="D13" s="28"/>
      <c r="E13" s="28"/>
      <c r="F13" s="28"/>
      <c r="G13" s="28"/>
      <c r="H13" s="28"/>
      <c r="I13" s="231"/>
      <c r="J13" s="28"/>
      <c r="K13" s="28"/>
      <c r="L13" s="28"/>
      <c r="M13" s="28"/>
      <c r="N13" s="28"/>
      <c r="O13" s="28"/>
    </row>
    <row r="14" spans="1:15" x14ac:dyDescent="0.25">
      <c r="A14" s="28"/>
      <c r="B14" s="31">
        <v>200</v>
      </c>
      <c r="C14" s="87" t="s">
        <v>696</v>
      </c>
      <c r="D14" s="28"/>
      <c r="E14" s="28"/>
      <c r="F14" s="28"/>
      <c r="G14" s="28"/>
      <c r="H14" s="28"/>
      <c r="I14" s="231"/>
      <c r="J14" s="28"/>
      <c r="K14" s="28"/>
      <c r="L14" s="28"/>
      <c r="M14" s="28"/>
      <c r="N14" s="28"/>
      <c r="O14" s="28"/>
    </row>
    <row r="15" spans="1:15" x14ac:dyDescent="0.25">
      <c r="A15" s="28"/>
      <c r="B15" s="31">
        <v>0</v>
      </c>
      <c r="C15" s="87" t="s">
        <v>698</v>
      </c>
      <c r="D15" s="28"/>
      <c r="E15" s="28"/>
      <c r="F15" s="28"/>
      <c r="G15" s="28"/>
      <c r="H15" s="28"/>
      <c r="I15" s="231"/>
      <c r="J15" s="28"/>
      <c r="K15" s="28"/>
      <c r="L15" s="28"/>
      <c r="M15" s="28"/>
      <c r="N15" s="28"/>
      <c r="O15" s="28"/>
    </row>
    <row r="16" spans="1:15" x14ac:dyDescent="0.25">
      <c r="A16" s="28"/>
      <c r="B16" s="232">
        <f>(B12*B13/100*1000)/(B10+65-B14+B15)*1000</f>
        <v>2875.3351206434313</v>
      </c>
      <c r="C16" s="28" t="s">
        <v>700</v>
      </c>
      <c r="D16" s="28"/>
      <c r="E16" s="28"/>
      <c r="F16" s="28"/>
      <c r="G16" s="28"/>
      <c r="H16" s="28"/>
      <c r="I16" s="231"/>
      <c r="J16" s="28"/>
      <c r="K16" s="28"/>
      <c r="L16" s="28"/>
      <c r="M16" s="28"/>
      <c r="N16" s="28"/>
      <c r="O16" s="28"/>
    </row>
    <row r="17" spans="1:19" ht="15.75" thickBot="1" x14ac:dyDescent="0.3">
      <c r="A17" s="28"/>
      <c r="B17" s="28" t="s">
        <v>647</v>
      </c>
      <c r="C17" s="28"/>
      <c r="D17" s="28"/>
      <c r="E17" s="28"/>
      <c r="F17" s="28"/>
      <c r="G17" s="28"/>
      <c r="H17" s="28"/>
      <c r="I17" s="222"/>
      <c r="J17" s="28"/>
      <c r="K17" s="28"/>
      <c r="L17" s="28"/>
      <c r="M17" s="28"/>
      <c r="N17" s="28"/>
      <c r="O17" s="28"/>
    </row>
    <row r="18" spans="1:19" ht="64.5"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19" ht="15.75" thickBot="1" x14ac:dyDescent="0.3">
      <c r="A19" s="32">
        <v>0</v>
      </c>
      <c r="B19" s="51">
        <v>3.7</v>
      </c>
      <c r="C19" s="182">
        <v>7.29</v>
      </c>
      <c r="D19" s="23">
        <v>7.34</v>
      </c>
      <c r="E19" s="23">
        <v>1.24</v>
      </c>
      <c r="F19" s="23">
        <v>1.17</v>
      </c>
      <c r="G19" s="23">
        <v>188</v>
      </c>
      <c r="H19" s="23">
        <v>624</v>
      </c>
      <c r="I19" s="33">
        <v>25000000</v>
      </c>
      <c r="J19" s="125">
        <f t="shared" ref="J19:J24" si="0">LOG(I$19)-LOG(I19)</f>
        <v>0</v>
      </c>
      <c r="K19" s="33" t="s">
        <v>35</v>
      </c>
      <c r="L19" s="23" t="s">
        <v>26</v>
      </c>
      <c r="M19" s="23" t="s">
        <v>26</v>
      </c>
      <c r="N19" s="23" t="s">
        <v>26</v>
      </c>
      <c r="O19" s="23" t="s">
        <v>26</v>
      </c>
      <c r="P19" s="233">
        <f t="shared" ref="P19:P24" si="1">B$16*A19</f>
        <v>0</v>
      </c>
      <c r="Q19" s="233">
        <f>6/LINEST(J19:J24,P19:P24,FALSE)</f>
        <v>235710.6721363102</v>
      </c>
      <c r="R19" s="233">
        <f>Q19/3000</f>
        <v>78.570224045436731</v>
      </c>
      <c r="S19" s="233">
        <f>(J28/LINEST($J19:$J24,$P19:$P24,FALSE))/$B$16</f>
        <v>101.10467711431912</v>
      </c>
    </row>
    <row r="20" spans="1:19" ht="15.75" thickBot="1" x14ac:dyDescent="0.3">
      <c r="A20" s="32">
        <v>5</v>
      </c>
      <c r="B20" s="125">
        <v>4</v>
      </c>
      <c r="C20" s="50">
        <v>10.11</v>
      </c>
      <c r="D20" s="24">
        <v>11.46</v>
      </c>
      <c r="E20" s="24">
        <v>1000</v>
      </c>
      <c r="F20" s="24">
        <v>0.82</v>
      </c>
      <c r="G20" s="24">
        <v>549</v>
      </c>
      <c r="H20" s="23" t="s">
        <v>26</v>
      </c>
      <c r="I20" s="33">
        <v>29000000</v>
      </c>
      <c r="J20" s="125">
        <f t="shared" si="0"/>
        <v>-6.4457989226919032E-2</v>
      </c>
      <c r="K20" s="33" t="s">
        <v>35</v>
      </c>
      <c r="L20" s="23" t="s">
        <v>26</v>
      </c>
      <c r="M20" s="23" t="s">
        <v>26</v>
      </c>
      <c r="N20" s="23" t="s">
        <v>26</v>
      </c>
      <c r="O20" s="23" t="s">
        <v>26</v>
      </c>
      <c r="P20" s="233">
        <f t="shared" si="1"/>
        <v>14376.675603217156</v>
      </c>
      <c r="Q20" s="228"/>
    </row>
    <row r="21" spans="1:19" ht="15.75" thickBot="1" x14ac:dyDescent="0.3">
      <c r="A21" s="32">
        <v>10</v>
      </c>
      <c r="B21" s="125">
        <v>4</v>
      </c>
      <c r="C21" s="24">
        <v>10.11</v>
      </c>
      <c r="D21" s="50">
        <v>11.45</v>
      </c>
      <c r="E21" s="24">
        <v>4000</v>
      </c>
      <c r="F21" s="24">
        <v>0.01</v>
      </c>
      <c r="G21" s="24">
        <v>518</v>
      </c>
      <c r="H21" s="23" t="s">
        <v>26</v>
      </c>
      <c r="I21" s="33">
        <v>26000000</v>
      </c>
      <c r="J21" s="125">
        <f t="shared" si="0"/>
        <v>-1.7033339298780703E-2</v>
      </c>
      <c r="K21" s="33" t="s">
        <v>35</v>
      </c>
      <c r="L21" s="23" t="s">
        <v>26</v>
      </c>
      <c r="M21" s="23" t="s">
        <v>26</v>
      </c>
      <c r="N21" s="23" t="s">
        <v>26</v>
      </c>
      <c r="O21" s="23" t="s">
        <v>26</v>
      </c>
      <c r="P21" s="233">
        <f t="shared" si="1"/>
        <v>28753.351206434312</v>
      </c>
      <c r="Q21" s="228"/>
    </row>
    <row r="22" spans="1:19" ht="15.75" thickBot="1" x14ac:dyDescent="0.3">
      <c r="A22" s="32">
        <v>20</v>
      </c>
      <c r="B22" s="125">
        <v>3.8</v>
      </c>
      <c r="C22" s="24">
        <v>10.08</v>
      </c>
      <c r="D22" s="24">
        <v>11.24</v>
      </c>
      <c r="E22" s="24">
        <v>8000</v>
      </c>
      <c r="F22" s="24">
        <v>0.13</v>
      </c>
      <c r="G22" s="24">
        <v>309</v>
      </c>
      <c r="H22" s="23" t="s">
        <v>26</v>
      </c>
      <c r="I22" s="33">
        <v>12000000</v>
      </c>
      <c r="J22" s="125">
        <f t="shared" si="0"/>
        <v>0.31875876262441238</v>
      </c>
      <c r="K22" s="33" t="s">
        <v>35</v>
      </c>
      <c r="L22" s="23" t="s">
        <v>26</v>
      </c>
      <c r="M22" s="23" t="s">
        <v>26</v>
      </c>
      <c r="N22" s="23" t="s">
        <v>26</v>
      </c>
      <c r="O22" s="23" t="s">
        <v>26</v>
      </c>
      <c r="P22" s="233">
        <f t="shared" si="1"/>
        <v>57506.702412868624</v>
      </c>
      <c r="Q22" s="228"/>
    </row>
    <row r="23" spans="1:19" ht="15.75" thickBot="1" x14ac:dyDescent="0.3">
      <c r="A23" s="32">
        <v>30</v>
      </c>
      <c r="B23" s="125">
        <v>3.6</v>
      </c>
      <c r="C23" s="50">
        <v>10.050000000000001</v>
      </c>
      <c r="D23" s="24">
        <v>11.35</v>
      </c>
      <c r="E23" s="24">
        <v>3000</v>
      </c>
      <c r="F23" s="24">
        <v>0.05</v>
      </c>
      <c r="G23" s="24">
        <v>465</v>
      </c>
      <c r="H23" s="23" t="s">
        <v>26</v>
      </c>
      <c r="I23" s="33">
        <v>2400000</v>
      </c>
      <c r="J23" s="125">
        <f t="shared" si="0"/>
        <v>1.0177287669604311</v>
      </c>
      <c r="K23" s="33" t="s">
        <v>35</v>
      </c>
      <c r="L23" s="23" t="s">
        <v>26</v>
      </c>
      <c r="M23" s="23" t="s">
        <v>26</v>
      </c>
      <c r="N23" s="23" t="s">
        <v>26</v>
      </c>
      <c r="O23" s="23" t="s">
        <v>26</v>
      </c>
      <c r="P23" s="233">
        <f t="shared" si="1"/>
        <v>86260.05361930294</v>
      </c>
      <c r="Q23" s="228"/>
    </row>
    <row r="24" spans="1:19" ht="15.75" thickBot="1" x14ac:dyDescent="0.3">
      <c r="A24" s="32">
        <v>60</v>
      </c>
      <c r="B24" s="125">
        <v>4</v>
      </c>
      <c r="C24" s="50">
        <v>9.9600000000000009</v>
      </c>
      <c r="D24" s="24">
        <v>11.32</v>
      </c>
      <c r="E24" s="24">
        <v>8000</v>
      </c>
      <c r="F24" s="58">
        <v>0.56000000000000005</v>
      </c>
      <c r="G24" s="24">
        <v>434</v>
      </c>
      <c r="H24" s="23" t="s">
        <v>26</v>
      </c>
      <c r="I24" s="33">
        <v>75</v>
      </c>
      <c r="J24" s="125">
        <f t="shared" si="0"/>
        <v>5.5228787452803374</v>
      </c>
      <c r="K24" s="33" t="s">
        <v>35</v>
      </c>
      <c r="L24" s="23" t="s">
        <v>26</v>
      </c>
      <c r="M24" s="23" t="s">
        <v>26</v>
      </c>
      <c r="N24" s="23" t="s">
        <v>26</v>
      </c>
      <c r="O24" s="23" t="s">
        <v>26</v>
      </c>
      <c r="P24" s="233">
        <f t="shared" si="1"/>
        <v>172520.10723860588</v>
      </c>
      <c r="Q24" s="228"/>
    </row>
    <row r="25" spans="1:19" ht="15.75" thickBot="1" x14ac:dyDescent="0.3">
      <c r="A25" s="32">
        <v>120</v>
      </c>
      <c r="B25" s="125">
        <v>4.5999999999999996</v>
      </c>
      <c r="C25" s="24">
        <v>9.85</v>
      </c>
      <c r="D25" s="24">
        <v>11.41</v>
      </c>
      <c r="E25" s="24">
        <v>4000</v>
      </c>
      <c r="F25" s="103">
        <v>0</v>
      </c>
      <c r="G25" s="24">
        <v>403</v>
      </c>
      <c r="H25" s="23" t="s">
        <v>26</v>
      </c>
      <c r="I25" s="33">
        <v>0</v>
      </c>
      <c r="J25" s="24" t="s">
        <v>499</v>
      </c>
      <c r="K25" s="33" t="s">
        <v>35</v>
      </c>
      <c r="L25" s="23" t="s">
        <v>26</v>
      </c>
      <c r="M25" s="23" t="s">
        <v>26</v>
      </c>
      <c r="N25" s="23" t="s">
        <v>26</v>
      </c>
      <c r="O25" s="23" t="s">
        <v>26</v>
      </c>
      <c r="P25" s="233"/>
      <c r="Q25" s="228"/>
    </row>
    <row r="26" spans="1:19" ht="15.75" thickBot="1" x14ac:dyDescent="0.3">
      <c r="A26" s="32">
        <v>180</v>
      </c>
      <c r="B26" s="125">
        <v>4.9000000000000004</v>
      </c>
      <c r="C26" s="50">
        <v>9.8000000000000007</v>
      </c>
      <c r="D26" s="50">
        <v>11.79</v>
      </c>
      <c r="E26" s="24">
        <v>5000</v>
      </c>
      <c r="F26" s="103">
        <v>0</v>
      </c>
      <c r="G26" s="24">
        <v>392</v>
      </c>
      <c r="H26" s="23" t="s">
        <v>26</v>
      </c>
      <c r="I26" s="33">
        <v>0</v>
      </c>
      <c r="J26" s="24" t="s">
        <v>499</v>
      </c>
      <c r="K26" s="33" t="s">
        <v>35</v>
      </c>
      <c r="L26" s="23" t="s">
        <v>26</v>
      </c>
      <c r="M26" s="23" t="s">
        <v>26</v>
      </c>
      <c r="N26" s="23" t="s">
        <v>26</v>
      </c>
      <c r="O26" s="23" t="s">
        <v>26</v>
      </c>
      <c r="P26" s="233"/>
      <c r="Q26" s="228"/>
    </row>
    <row r="27" spans="1:19" ht="15.75" thickBot="1" x14ac:dyDescent="0.3">
      <c r="A27" s="32">
        <v>240</v>
      </c>
      <c r="B27" s="125">
        <v>3.8</v>
      </c>
      <c r="C27" s="24">
        <v>9.76</v>
      </c>
      <c r="D27" s="50">
        <v>12.36</v>
      </c>
      <c r="E27" s="24">
        <v>4000</v>
      </c>
      <c r="F27" s="58">
        <v>0.03</v>
      </c>
      <c r="G27" s="24">
        <v>506</v>
      </c>
      <c r="H27" s="24">
        <v>264</v>
      </c>
      <c r="I27" s="33">
        <v>0</v>
      </c>
      <c r="J27" s="24" t="s">
        <v>499</v>
      </c>
      <c r="K27" s="33" t="s">
        <v>35</v>
      </c>
      <c r="L27" s="23" t="s">
        <v>26</v>
      </c>
      <c r="M27" s="36">
        <v>54</v>
      </c>
      <c r="N27" s="36">
        <v>5776</v>
      </c>
      <c r="O27" s="27">
        <v>1633</v>
      </c>
      <c r="P27" s="220"/>
    </row>
    <row r="28" spans="1:19" x14ac:dyDescent="0.25">
      <c r="B28" s="108">
        <f>AVERAGE(B20:B24)</f>
        <v>3.88</v>
      </c>
      <c r="C28" s="108">
        <f>AVERAGE(C20:C24)</f>
        <v>10.061999999999999</v>
      </c>
      <c r="E28" s="155">
        <f>AVERAGE(E20:E26)</f>
        <v>4714.2857142857147</v>
      </c>
      <c r="F28" s="155">
        <f>_xlfn.STDEV.P(E20:E26)</f>
        <v>2373.3211036908783</v>
      </c>
      <c r="J28">
        <v>7.4</v>
      </c>
      <c r="N28" s="28"/>
      <c r="O28" s="28"/>
    </row>
    <row r="29" spans="1:19" x14ac:dyDescent="0.25">
      <c r="A29" s="28" t="s">
        <v>140</v>
      </c>
      <c r="B29" s="28"/>
      <c r="C29" s="28"/>
      <c r="D29" s="28"/>
      <c r="E29" s="28"/>
      <c r="F29" s="28"/>
      <c r="G29" s="28"/>
      <c r="H29" s="28"/>
      <c r="I29" s="222"/>
      <c r="J29" s="28"/>
      <c r="K29" s="28"/>
      <c r="L29" s="28"/>
      <c r="M29" s="28"/>
      <c r="N29" s="28"/>
      <c r="O29" s="28"/>
    </row>
    <row r="30" spans="1:19" x14ac:dyDescent="0.25">
      <c r="A30" s="28"/>
      <c r="B30" s="28" t="s">
        <v>141</v>
      </c>
      <c r="C30" s="28"/>
      <c r="D30" s="28"/>
      <c r="E30" s="28"/>
      <c r="F30" s="28"/>
      <c r="G30" s="28"/>
      <c r="H30" s="28"/>
      <c r="I30" s="222"/>
      <c r="J30" s="28"/>
      <c r="K30" s="28"/>
      <c r="L30" s="28"/>
      <c r="M30" s="28"/>
      <c r="N30" s="28" t="s">
        <v>34</v>
      </c>
      <c r="O30" s="28"/>
    </row>
    <row r="31" spans="1:19" x14ac:dyDescent="0.25">
      <c r="A31" s="28" t="s">
        <v>264</v>
      </c>
      <c r="B31" s="28"/>
      <c r="C31" s="28"/>
      <c r="D31" s="28"/>
      <c r="E31" s="28"/>
      <c r="F31" s="28"/>
      <c r="G31" s="28"/>
      <c r="H31" s="28"/>
      <c r="I31" s="222"/>
      <c r="J31" s="28" t="s">
        <v>34</v>
      </c>
      <c r="K31" s="28"/>
      <c r="L31" s="28" t="s">
        <v>34</v>
      </c>
      <c r="M31" s="28"/>
      <c r="N31" s="28"/>
      <c r="O31" s="28"/>
      <c r="R31" s="225"/>
    </row>
    <row r="32" spans="1:19" x14ac:dyDescent="0.25">
      <c r="A32" s="59"/>
      <c r="F32" s="28"/>
      <c r="G32" s="28"/>
      <c r="H32" s="28"/>
      <c r="I32" s="222"/>
      <c r="J32" s="28"/>
      <c r="K32" s="28"/>
      <c r="L32" s="28" t="s">
        <v>34</v>
      </c>
      <c r="M32" s="28" t="s">
        <v>34</v>
      </c>
      <c r="N32" s="28"/>
      <c r="O32" s="28"/>
      <c r="R32" s="155"/>
    </row>
    <row r="33" spans="1:15" x14ac:dyDescent="0.25">
      <c r="A33" s="19" t="s">
        <v>28</v>
      </c>
      <c r="G33" s="28"/>
      <c r="H33" s="28"/>
      <c r="I33" s="222"/>
      <c r="J33" s="28"/>
      <c r="K33" s="28" t="s">
        <v>34</v>
      </c>
      <c r="L33" s="28"/>
      <c r="M33" s="28" t="s">
        <v>34</v>
      </c>
      <c r="N33" s="28"/>
      <c r="O33" s="28"/>
    </row>
    <row r="34" spans="1:15" x14ac:dyDescent="0.25">
      <c r="A34" s="28"/>
      <c r="B34" s="28"/>
      <c r="C34" s="28"/>
      <c r="D34" s="28"/>
      <c r="E34" s="28" t="s">
        <v>683</v>
      </c>
      <c r="F34" s="28" t="s">
        <v>684</v>
      </c>
      <c r="G34" s="28"/>
      <c r="H34" s="28"/>
      <c r="I34" s="222"/>
      <c r="J34" s="28"/>
      <c r="K34" s="28"/>
      <c r="L34" s="28" t="s">
        <v>34</v>
      </c>
      <c r="M34" s="28" t="s">
        <v>34</v>
      </c>
      <c r="N34" s="28"/>
      <c r="O34" s="28"/>
    </row>
    <row r="35" spans="1:15" x14ac:dyDescent="0.25">
      <c r="A35" s="28"/>
      <c r="B35" s="22" t="s">
        <v>679</v>
      </c>
      <c r="C35" s="28"/>
      <c r="D35" s="28"/>
      <c r="E35" s="28">
        <f>5.3625/(2000+65-200)</f>
        <v>2.8753351206434316E-3</v>
      </c>
      <c r="F35" s="28">
        <f>E35*1000*1000</f>
        <v>2875.3351206434313</v>
      </c>
      <c r="G35" s="189"/>
      <c r="H35" s="189"/>
      <c r="I35" s="189"/>
      <c r="J35" s="189"/>
      <c r="K35" s="189"/>
      <c r="L35" s="189" t="s">
        <v>34</v>
      </c>
      <c r="M35" s="28"/>
      <c r="N35" s="28"/>
      <c r="O35" s="28"/>
    </row>
    <row r="36" spans="1:15" x14ac:dyDescent="0.25">
      <c r="A36" s="28"/>
      <c r="B36" s="189" t="s">
        <v>685</v>
      </c>
      <c r="C36" s="189"/>
      <c r="D36" s="189"/>
      <c r="E36" s="28">
        <f>(2000+65-200)</f>
        <v>1865</v>
      </c>
      <c r="F36" s="189"/>
      <c r="G36" s="189"/>
      <c r="H36" s="189"/>
      <c r="I36" s="189"/>
      <c r="J36" s="189"/>
      <c r="K36" s="189"/>
      <c r="L36" s="189"/>
      <c r="M36" s="28"/>
      <c r="N36" s="28"/>
      <c r="O36" s="28"/>
    </row>
    <row r="37" spans="1:15" x14ac:dyDescent="0.25">
      <c r="A37" s="28"/>
      <c r="B37" s="22"/>
      <c r="C37" s="28"/>
      <c r="D37" s="28"/>
      <c r="E37" s="28"/>
      <c r="F37" s="28"/>
      <c r="G37" s="28"/>
      <c r="H37" s="28"/>
      <c r="I37" s="222"/>
      <c r="J37" s="28"/>
      <c r="K37" s="28"/>
      <c r="L37" s="28"/>
      <c r="M37" s="28" t="s">
        <v>34</v>
      </c>
      <c r="N37" s="28"/>
      <c r="O37" s="28"/>
    </row>
    <row r="38" spans="1:15" x14ac:dyDescent="0.25">
      <c r="A38" s="28"/>
      <c r="B38" s="189"/>
      <c r="C38" s="189"/>
      <c r="D38" s="189"/>
      <c r="E38" s="189"/>
      <c r="F38" s="189"/>
      <c r="G38" s="189"/>
      <c r="H38" s="189"/>
      <c r="I38" s="189"/>
      <c r="J38" s="189"/>
      <c r="K38" s="189"/>
      <c r="M38" s="28"/>
      <c r="N38" s="28"/>
      <c r="O38" s="28"/>
    </row>
    <row r="39" spans="1:15" x14ac:dyDescent="0.25">
      <c r="A39" s="28"/>
      <c r="B39" s="189"/>
      <c r="C39" s="189"/>
      <c r="D39" s="189"/>
      <c r="E39" s="189"/>
      <c r="F39" s="189"/>
      <c r="G39" s="189"/>
      <c r="H39" s="189"/>
      <c r="I39" s="189"/>
      <c r="J39" s="189"/>
      <c r="K39" s="189"/>
      <c r="M39" s="28"/>
      <c r="N39" s="28"/>
      <c r="O39" s="28"/>
    </row>
    <row r="40" spans="1:15" x14ac:dyDescent="0.25">
      <c r="A40" s="28"/>
      <c r="B40" s="69"/>
      <c r="C40" s="87"/>
      <c r="D40" s="87"/>
      <c r="E40" s="87"/>
      <c r="F40" s="87"/>
      <c r="G40" s="87"/>
      <c r="H40" s="87"/>
      <c r="I40" s="88"/>
      <c r="J40" s="87"/>
      <c r="K40" s="87"/>
      <c r="L40" s="28"/>
      <c r="M40" s="28"/>
      <c r="N40" s="28"/>
      <c r="O40" s="28"/>
    </row>
    <row r="41" spans="1:15" x14ac:dyDescent="0.25">
      <c r="A41" s="28"/>
      <c r="B41" s="75"/>
      <c r="C41" s="28"/>
      <c r="D41" s="28"/>
      <c r="E41" s="28"/>
      <c r="F41" s="28"/>
      <c r="G41" s="28"/>
      <c r="H41" s="28"/>
      <c r="I41" s="222"/>
      <c r="J41" s="28"/>
      <c r="K41" s="28"/>
      <c r="N41" s="28"/>
      <c r="O41" s="28"/>
    </row>
    <row r="42" spans="1:15" x14ac:dyDescent="0.25">
      <c r="A42" s="28"/>
      <c r="B42" s="22"/>
      <c r="L42" s="28"/>
      <c r="N42" s="28"/>
      <c r="O42" s="28"/>
    </row>
    <row r="43" spans="1:15" x14ac:dyDescent="0.25">
      <c r="A43" s="28"/>
      <c r="B43" s="22"/>
      <c r="L43" s="28"/>
      <c r="N43" s="28"/>
      <c r="O43" s="28" t="s">
        <v>34</v>
      </c>
    </row>
    <row r="44" spans="1:15" x14ac:dyDescent="0.25">
      <c r="A44" s="28"/>
      <c r="B44" s="22"/>
      <c r="L44" s="28"/>
      <c r="M44" s="28"/>
      <c r="N44" s="28"/>
      <c r="O44" s="28"/>
    </row>
    <row r="45" spans="1:15" x14ac:dyDescent="0.25">
      <c r="B45" s="189"/>
      <c r="C45" s="64"/>
      <c r="D45" s="64"/>
      <c r="E45" s="64"/>
      <c r="F45" s="64"/>
      <c r="G45" s="64"/>
      <c r="H45" s="64"/>
      <c r="I45" s="64"/>
      <c r="J45" s="64"/>
      <c r="K45" s="64"/>
      <c r="L45" s="65"/>
      <c r="M45" s="28"/>
      <c r="N45" s="28"/>
      <c r="O45" s="28"/>
    </row>
    <row r="46" spans="1:15" x14ac:dyDescent="0.25">
      <c r="B46" s="189"/>
    </row>
    <row r="47" spans="1:15" x14ac:dyDescent="0.25">
      <c r="B47" s="22"/>
      <c r="C47" s="28"/>
      <c r="D47" s="28"/>
      <c r="E47" s="28"/>
      <c r="F47" s="28"/>
      <c r="G47" s="28"/>
      <c r="H47" s="28"/>
      <c r="I47" s="222"/>
      <c r="J47" s="28"/>
    </row>
    <row r="48" spans="1:15" x14ac:dyDescent="0.25">
      <c r="B48" s="189"/>
      <c r="C48" s="64"/>
      <c r="D48" s="64"/>
      <c r="E48" s="64"/>
      <c r="F48" s="64"/>
      <c r="G48" s="64"/>
      <c r="H48" s="64"/>
      <c r="I48" s="64"/>
      <c r="J48" s="64"/>
      <c r="K48" s="64"/>
      <c r="L48" s="65"/>
      <c r="O48" t="s">
        <v>34</v>
      </c>
    </row>
    <row r="49" spans="2:14" x14ac:dyDescent="0.25">
      <c r="B49" s="189"/>
      <c r="C49" s="189"/>
      <c r="D49" s="189"/>
      <c r="E49" s="189"/>
      <c r="F49" s="189"/>
      <c r="G49" s="189"/>
      <c r="H49" s="189"/>
      <c r="I49" s="189"/>
      <c r="J49" s="189"/>
      <c r="K49" s="189"/>
      <c r="N49" t="s">
        <v>34</v>
      </c>
    </row>
    <row r="50" spans="2:14" x14ac:dyDescent="0.25">
      <c r="B50" s="189"/>
      <c r="C50" s="189"/>
      <c r="D50" s="189"/>
      <c r="E50" s="189"/>
      <c r="F50" s="189"/>
      <c r="G50" s="189"/>
      <c r="H50" s="189"/>
      <c r="I50" s="189"/>
      <c r="J50" s="189"/>
      <c r="K50" s="189"/>
    </row>
    <row r="51" spans="2:14" x14ac:dyDescent="0.25">
      <c r="B51" s="22"/>
      <c r="C51" s="28"/>
      <c r="D51" s="28"/>
      <c r="E51" s="28"/>
      <c r="F51" s="28"/>
      <c r="G51" s="28"/>
      <c r="H51" s="222"/>
      <c r="I51" s="28"/>
      <c r="J51" s="189"/>
      <c r="K51" s="28"/>
    </row>
    <row r="52" spans="2:14" x14ac:dyDescent="0.25">
      <c r="N52" t="s">
        <v>34</v>
      </c>
    </row>
  </sheetData>
  <pageMargins left="0.7" right="0.7" top="0.75" bottom="0.75" header="0.3" footer="0.3"/>
  <pageSetup scale="63" orientation="landscape" verticalDpi="597" r:id="rId1"/>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rgb="FF0000CC"/>
    <pageSetUpPr fitToPage="1"/>
  </sheetPr>
  <dimension ref="A6:S52"/>
  <sheetViews>
    <sheetView zoomScale="90" zoomScaleNormal="90" workbookViewId="0"/>
  </sheetViews>
  <sheetFormatPr defaultRowHeight="15" x14ac:dyDescent="0.25"/>
  <cols>
    <col min="2" max="2" width="10" customWidth="1"/>
    <col min="9" max="9" width="10.28515625" bestFit="1" customWidth="1"/>
    <col min="11" max="11" width="8.42578125" bestFit="1" customWidth="1"/>
  </cols>
  <sheetData>
    <row r="6" spans="1:15" x14ac:dyDescent="0.25">
      <c r="A6" s="7" t="s">
        <v>12</v>
      </c>
      <c r="B6" s="28"/>
      <c r="C6" s="28"/>
      <c r="D6" s="28"/>
      <c r="E6" s="28"/>
      <c r="F6" s="28"/>
      <c r="G6" s="28"/>
      <c r="H6" s="28"/>
      <c r="I6" s="222"/>
      <c r="J6" s="28"/>
      <c r="K6" s="28"/>
      <c r="L6" s="28"/>
      <c r="M6" s="28"/>
      <c r="N6" s="28"/>
      <c r="O6" s="28"/>
    </row>
    <row r="7" spans="1:15" x14ac:dyDescent="0.25">
      <c r="A7" s="30" t="s">
        <v>13</v>
      </c>
      <c r="B7" s="30">
        <v>42086</v>
      </c>
    </row>
    <row r="8" spans="1:15" x14ac:dyDescent="0.25">
      <c r="A8" s="28" t="s">
        <v>14</v>
      </c>
      <c r="B8" s="28">
        <v>21</v>
      </c>
      <c r="C8" s="28" t="s">
        <v>670</v>
      </c>
      <c r="D8" s="28"/>
      <c r="E8" s="28"/>
      <c r="F8" s="28"/>
      <c r="G8" s="28"/>
      <c r="H8" s="28"/>
      <c r="I8" s="222"/>
      <c r="J8" s="28"/>
      <c r="K8" s="28" t="s">
        <v>34</v>
      </c>
      <c r="L8" s="28" t="s">
        <v>34</v>
      </c>
      <c r="M8" s="28"/>
      <c r="N8" s="28"/>
      <c r="O8" s="28"/>
    </row>
    <row r="9" spans="1:15" x14ac:dyDescent="0.25">
      <c r="A9" s="28" t="s">
        <v>15</v>
      </c>
      <c r="B9" s="28">
        <v>10</v>
      </c>
      <c r="C9" s="28" t="s">
        <v>240</v>
      </c>
      <c r="D9" s="28"/>
      <c r="E9" s="28"/>
      <c r="F9" s="28"/>
      <c r="G9" s="28"/>
      <c r="H9" s="28"/>
      <c r="I9" s="222"/>
      <c r="J9" s="28"/>
      <c r="K9" s="28"/>
      <c r="L9" s="28"/>
      <c r="M9" s="28"/>
      <c r="N9" s="28"/>
      <c r="O9" s="28"/>
    </row>
    <row r="10" spans="1:15" x14ac:dyDescent="0.25">
      <c r="A10" s="28" t="s">
        <v>16</v>
      </c>
      <c r="B10" s="31">
        <v>2000</v>
      </c>
      <c r="C10" s="28" t="s">
        <v>695</v>
      </c>
      <c r="D10" s="28"/>
      <c r="E10" s="28"/>
      <c r="F10" s="28"/>
      <c r="G10" s="28"/>
      <c r="H10" s="28"/>
      <c r="I10" s="222" t="s">
        <v>34</v>
      </c>
      <c r="J10" s="28" t="s">
        <v>34</v>
      </c>
      <c r="K10" s="28" t="s">
        <v>34</v>
      </c>
      <c r="L10" s="28" t="s">
        <v>34</v>
      </c>
      <c r="M10" s="28" t="s">
        <v>34</v>
      </c>
      <c r="N10" s="28" t="s">
        <v>34</v>
      </c>
      <c r="O10" s="28"/>
    </row>
    <row r="11" spans="1:15" x14ac:dyDescent="0.25">
      <c r="A11" s="28"/>
      <c r="B11" s="31" t="s">
        <v>661</v>
      </c>
      <c r="C11" s="28"/>
      <c r="D11" s="28"/>
      <c r="E11" s="28"/>
      <c r="F11" s="28"/>
      <c r="G11" s="28"/>
      <c r="H11" s="28"/>
      <c r="I11" s="222"/>
      <c r="J11" s="28"/>
      <c r="K11" s="28" t="s">
        <v>34</v>
      </c>
      <c r="L11" s="28"/>
      <c r="M11" s="28"/>
      <c r="N11" s="28"/>
      <c r="O11" s="28"/>
    </row>
    <row r="12" spans="1:15" x14ac:dyDescent="0.25">
      <c r="A12" s="28"/>
      <c r="B12" s="31">
        <v>65</v>
      </c>
      <c r="C12" s="28" t="s">
        <v>694</v>
      </c>
      <c r="D12" s="28"/>
      <c r="E12" s="28"/>
      <c r="F12" s="28"/>
      <c r="G12" s="28"/>
      <c r="H12" s="28"/>
      <c r="I12" s="222"/>
      <c r="J12" s="28"/>
      <c r="K12" s="28"/>
      <c r="L12" s="28"/>
      <c r="M12" s="28"/>
      <c r="N12" s="28"/>
      <c r="O12" s="28"/>
    </row>
    <row r="13" spans="1:15" x14ac:dyDescent="0.25">
      <c r="A13" s="28"/>
      <c r="B13" s="31">
        <v>8.25</v>
      </c>
      <c r="C13" s="28" t="s">
        <v>697</v>
      </c>
      <c r="D13" s="28"/>
      <c r="E13" s="28"/>
      <c r="F13" s="28"/>
      <c r="G13" s="28"/>
      <c r="H13" s="28"/>
      <c r="I13" s="222"/>
      <c r="J13" s="28"/>
      <c r="K13" s="28"/>
      <c r="L13" s="28"/>
      <c r="M13" s="28"/>
      <c r="N13" s="28"/>
      <c r="O13" s="28"/>
    </row>
    <row r="14" spans="1:15" x14ac:dyDescent="0.25">
      <c r="A14" s="28"/>
      <c r="B14" s="31">
        <v>200</v>
      </c>
      <c r="C14" s="87" t="s">
        <v>696</v>
      </c>
      <c r="D14" s="28"/>
      <c r="E14" s="28"/>
      <c r="F14" s="28"/>
      <c r="G14" s="28"/>
      <c r="H14" s="28"/>
      <c r="I14" s="231"/>
      <c r="J14" s="28"/>
      <c r="K14" s="28"/>
      <c r="L14" s="28"/>
      <c r="M14" s="28"/>
      <c r="N14" s="28"/>
      <c r="O14" s="28"/>
    </row>
    <row r="15" spans="1:15" x14ac:dyDescent="0.25">
      <c r="A15" s="28"/>
      <c r="B15" s="31">
        <v>30</v>
      </c>
      <c r="C15" s="87" t="s">
        <v>698</v>
      </c>
      <c r="D15" s="28"/>
      <c r="E15" s="28"/>
      <c r="F15" s="28"/>
      <c r="G15" s="28"/>
      <c r="H15" s="28"/>
      <c r="I15" s="231"/>
      <c r="J15" s="28"/>
      <c r="K15" s="28"/>
      <c r="L15" s="28"/>
      <c r="M15" s="28"/>
      <c r="N15" s="28"/>
      <c r="O15" s="28"/>
    </row>
    <row r="16" spans="1:15" x14ac:dyDescent="0.25">
      <c r="A16" s="28"/>
      <c r="B16" s="232">
        <f>(B12*B13/100*1000)/(B10+65-B14+B15)*1000</f>
        <v>2829.8153034300794</v>
      </c>
      <c r="C16" s="28" t="s">
        <v>700</v>
      </c>
      <c r="D16" s="28"/>
      <c r="E16" s="28"/>
      <c r="F16" s="28"/>
      <c r="G16" s="28"/>
      <c r="H16" s="28"/>
      <c r="I16" s="231"/>
      <c r="J16" s="28"/>
      <c r="K16" s="28"/>
      <c r="L16" s="28"/>
      <c r="M16" s="28"/>
      <c r="N16" s="28"/>
      <c r="O16" s="28"/>
    </row>
    <row r="17" spans="1:19" ht="16.5" thickBot="1" x14ac:dyDescent="0.35">
      <c r="A17" s="28"/>
      <c r="B17" s="28" t="s">
        <v>671</v>
      </c>
      <c r="C17" s="28"/>
      <c r="D17" s="28"/>
      <c r="E17" s="28"/>
      <c r="F17" s="28"/>
      <c r="G17" s="28"/>
      <c r="H17" s="28"/>
      <c r="I17" s="231"/>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19" ht="15.75" thickBot="1" x14ac:dyDescent="0.3">
      <c r="A19" s="32">
        <v>0</v>
      </c>
      <c r="B19" s="51">
        <v>5</v>
      </c>
      <c r="C19" s="182">
        <v>7.19</v>
      </c>
      <c r="D19" s="23">
        <v>7.32</v>
      </c>
      <c r="E19" s="23">
        <v>0.93</v>
      </c>
      <c r="F19" s="23">
        <v>1.01</v>
      </c>
      <c r="G19" s="23">
        <v>553</v>
      </c>
      <c r="H19" s="23">
        <v>452</v>
      </c>
      <c r="I19" s="33">
        <v>28000000</v>
      </c>
      <c r="J19" s="125">
        <f>LOG(I$19)-LOG(I19)</f>
        <v>0</v>
      </c>
      <c r="K19" s="33" t="s">
        <v>35</v>
      </c>
      <c r="L19" s="23" t="s">
        <v>26</v>
      </c>
      <c r="M19" s="23" t="s">
        <v>26</v>
      </c>
      <c r="N19" s="23" t="s">
        <v>26</v>
      </c>
      <c r="O19" s="23" t="s">
        <v>26</v>
      </c>
      <c r="P19" s="233">
        <f t="shared" ref="P19:P24" si="0">B$16*A19</f>
        <v>0</v>
      </c>
      <c r="Q19" s="233">
        <f>6/LINEST(J19:J21,P19:P21,FALSE)</f>
        <v>26547.285944418909</v>
      </c>
      <c r="R19" s="233">
        <f>Q19/3000</f>
        <v>8.8490953148063038</v>
      </c>
      <c r="S19" s="233">
        <f>(J28/LINEST($J19:$J21,$P19:$P21,FALSE))/$B$16</f>
        <v>11.570243692263755</v>
      </c>
    </row>
    <row r="20" spans="1:19" ht="15.75" thickBot="1" x14ac:dyDescent="0.3">
      <c r="A20" s="32">
        <v>5</v>
      </c>
      <c r="B20" s="125">
        <v>4.0999999999999996</v>
      </c>
      <c r="C20" s="50">
        <v>8.0299999999999994</v>
      </c>
      <c r="D20" s="24">
        <v>10.35</v>
      </c>
      <c r="E20" s="24">
        <v>2000</v>
      </c>
      <c r="F20" s="24">
        <v>0.93</v>
      </c>
      <c r="G20" s="24">
        <v>436</v>
      </c>
      <c r="H20" s="23" t="s">
        <v>26</v>
      </c>
      <c r="I20" s="33">
        <v>10000</v>
      </c>
      <c r="J20" s="125">
        <f>LOG(I$19)-LOG(I20)</f>
        <v>3.4471580313422194</v>
      </c>
      <c r="K20" s="33" t="s">
        <v>35</v>
      </c>
      <c r="L20" s="23" t="s">
        <v>26</v>
      </c>
      <c r="M20" s="23" t="s">
        <v>26</v>
      </c>
      <c r="N20" s="23" t="s">
        <v>26</v>
      </c>
      <c r="O20" s="23" t="s">
        <v>26</v>
      </c>
      <c r="P20" s="233">
        <f t="shared" si="0"/>
        <v>14149.076517150397</v>
      </c>
      <c r="Q20" s="228"/>
    </row>
    <row r="21" spans="1:19" ht="15.75" thickBot="1" x14ac:dyDescent="0.3">
      <c r="A21" s="32">
        <v>10</v>
      </c>
      <c r="B21" s="125">
        <v>3.8</v>
      </c>
      <c r="C21" s="24">
        <v>8.0299999999999994</v>
      </c>
      <c r="D21" s="50">
        <v>10.42</v>
      </c>
      <c r="E21" s="24">
        <v>1500</v>
      </c>
      <c r="F21" s="24">
        <v>0.85</v>
      </c>
      <c r="G21" s="24">
        <v>454</v>
      </c>
      <c r="H21" s="23" t="s">
        <v>26</v>
      </c>
      <c r="I21" s="33">
        <v>15</v>
      </c>
      <c r="J21" s="125">
        <f>LOG(I$19)-LOG(I21)</f>
        <v>6.2710667722865381</v>
      </c>
      <c r="K21" s="33" t="s">
        <v>35</v>
      </c>
      <c r="L21" s="23" t="s">
        <v>26</v>
      </c>
      <c r="M21" s="23" t="s">
        <v>26</v>
      </c>
      <c r="N21" s="23" t="s">
        <v>26</v>
      </c>
      <c r="O21" s="23" t="s">
        <v>26</v>
      </c>
      <c r="P21" s="233">
        <f t="shared" si="0"/>
        <v>28298.153034300794</v>
      </c>
      <c r="Q21" s="228"/>
    </row>
    <row r="22" spans="1:19" ht="15.75" thickBot="1" x14ac:dyDescent="0.3">
      <c r="A22" s="32">
        <v>20</v>
      </c>
      <c r="B22" s="125">
        <v>4</v>
      </c>
      <c r="C22" s="24">
        <v>8.0399999999999991</v>
      </c>
      <c r="D22" s="24">
        <v>10.42</v>
      </c>
      <c r="E22" s="24">
        <v>1300</v>
      </c>
      <c r="F22" s="24">
        <v>0.76</v>
      </c>
      <c r="G22" s="24">
        <v>493</v>
      </c>
      <c r="H22" s="23" t="s">
        <v>26</v>
      </c>
      <c r="I22" s="33">
        <v>0</v>
      </c>
      <c r="J22" s="125" t="s">
        <v>499</v>
      </c>
      <c r="K22" s="33" t="s">
        <v>35</v>
      </c>
      <c r="L22" s="23" t="s">
        <v>26</v>
      </c>
      <c r="M22" s="23" t="s">
        <v>26</v>
      </c>
      <c r="N22" s="23" t="s">
        <v>26</v>
      </c>
      <c r="O22" s="23" t="s">
        <v>26</v>
      </c>
      <c r="P22" s="233">
        <f t="shared" si="0"/>
        <v>56596.306068601589</v>
      </c>
      <c r="Q22" s="228"/>
    </row>
    <row r="23" spans="1:19" ht="15.75" thickBot="1" x14ac:dyDescent="0.3">
      <c r="A23" s="32">
        <v>30</v>
      </c>
      <c r="B23" s="125">
        <v>4.0999999999999996</v>
      </c>
      <c r="C23" s="50">
        <v>8.0500000000000007</v>
      </c>
      <c r="D23" s="24">
        <v>10.51</v>
      </c>
      <c r="E23" s="24">
        <v>3500</v>
      </c>
      <c r="F23" s="24">
        <v>0.73</v>
      </c>
      <c r="G23" s="24">
        <v>329</v>
      </c>
      <c r="H23" s="23" t="s">
        <v>26</v>
      </c>
      <c r="I23" s="33">
        <v>5</v>
      </c>
      <c r="J23" s="125">
        <f>LOG(I$19)-LOG(I23)</f>
        <v>6.7481880270062007</v>
      </c>
      <c r="K23" s="33" t="s">
        <v>35</v>
      </c>
      <c r="L23" s="23" t="s">
        <v>26</v>
      </c>
      <c r="M23" s="23" t="s">
        <v>26</v>
      </c>
      <c r="N23" s="23" t="s">
        <v>26</v>
      </c>
      <c r="O23" s="23" t="s">
        <v>26</v>
      </c>
      <c r="P23" s="233">
        <f t="shared" si="0"/>
        <v>84894.459102902387</v>
      </c>
      <c r="Q23" s="228"/>
    </row>
    <row r="24" spans="1:19" ht="15.75" thickBot="1" x14ac:dyDescent="0.3">
      <c r="A24" s="32">
        <v>60</v>
      </c>
      <c r="B24" s="125">
        <v>4.2</v>
      </c>
      <c r="C24" s="50">
        <v>8.0500000000000007</v>
      </c>
      <c r="D24" s="50">
        <v>10.6</v>
      </c>
      <c r="E24" s="24">
        <v>1700</v>
      </c>
      <c r="F24" s="58">
        <v>0.81</v>
      </c>
      <c r="G24" s="24">
        <v>360</v>
      </c>
      <c r="H24" s="23" t="s">
        <v>26</v>
      </c>
      <c r="I24" s="33">
        <v>0</v>
      </c>
      <c r="J24" s="24" t="s">
        <v>499</v>
      </c>
      <c r="K24" s="33" t="s">
        <v>35</v>
      </c>
      <c r="L24" s="23" t="s">
        <v>26</v>
      </c>
      <c r="M24" s="23" t="s">
        <v>26</v>
      </c>
      <c r="N24" s="23" t="s">
        <v>26</v>
      </c>
      <c r="O24" s="23" t="s">
        <v>26</v>
      </c>
      <c r="P24" s="233">
        <f t="shared" si="0"/>
        <v>169788.91820580477</v>
      </c>
      <c r="Q24" s="228"/>
    </row>
    <row r="25" spans="1:19" ht="15.75" thickBot="1" x14ac:dyDescent="0.3">
      <c r="A25" s="32">
        <v>120</v>
      </c>
      <c r="B25" s="125">
        <v>4.5</v>
      </c>
      <c r="C25" s="24">
        <v>8.0299999999999994</v>
      </c>
      <c r="D25" s="24">
        <v>10.84</v>
      </c>
      <c r="E25" s="24">
        <v>1900</v>
      </c>
      <c r="F25" s="100">
        <v>0.64</v>
      </c>
      <c r="G25" s="24">
        <v>431</v>
      </c>
      <c r="H25" s="23" t="s">
        <v>26</v>
      </c>
      <c r="I25" s="33">
        <v>0</v>
      </c>
      <c r="J25" s="24" t="s">
        <v>499</v>
      </c>
      <c r="K25" s="33" t="s">
        <v>35</v>
      </c>
      <c r="L25" s="23" t="s">
        <v>26</v>
      </c>
      <c r="M25" s="23" t="s">
        <v>26</v>
      </c>
      <c r="N25" s="23" t="s">
        <v>26</v>
      </c>
      <c r="O25" s="23" t="s">
        <v>26</v>
      </c>
      <c r="P25" s="233"/>
      <c r="Q25" s="228"/>
    </row>
    <row r="26" spans="1:19" ht="15.75" thickBot="1" x14ac:dyDescent="0.3">
      <c r="A26" s="32">
        <v>180</v>
      </c>
      <c r="B26" s="125">
        <v>4.7</v>
      </c>
      <c r="C26" s="50">
        <v>8.01</v>
      </c>
      <c r="D26" s="50">
        <v>11.27</v>
      </c>
      <c r="E26" s="24">
        <v>1600</v>
      </c>
      <c r="F26" s="100">
        <v>0.69</v>
      </c>
      <c r="G26" s="24">
        <v>378</v>
      </c>
      <c r="H26" s="23" t="s">
        <v>26</v>
      </c>
      <c r="I26" s="33">
        <v>0</v>
      </c>
      <c r="J26" s="24" t="s">
        <v>499</v>
      </c>
      <c r="K26" s="33" t="s">
        <v>35</v>
      </c>
      <c r="L26" s="23" t="s">
        <v>26</v>
      </c>
      <c r="M26" s="23" t="s">
        <v>26</v>
      </c>
      <c r="N26" s="23" t="s">
        <v>26</v>
      </c>
      <c r="O26" s="23" t="s">
        <v>26</v>
      </c>
      <c r="P26" s="233"/>
      <c r="Q26" s="228"/>
    </row>
    <row r="27" spans="1:19" ht="15.75" thickBot="1" x14ac:dyDescent="0.3">
      <c r="A27" s="32">
        <v>240</v>
      </c>
      <c r="B27" s="125">
        <v>4.9000000000000004</v>
      </c>
      <c r="C27" s="24">
        <v>7.99</v>
      </c>
      <c r="D27" s="50">
        <v>11.93</v>
      </c>
      <c r="E27" s="24">
        <v>2900</v>
      </c>
      <c r="F27" s="58">
        <v>0.68</v>
      </c>
      <c r="G27" s="24">
        <v>385</v>
      </c>
      <c r="H27" s="24">
        <v>102</v>
      </c>
      <c r="I27" s="33">
        <v>0</v>
      </c>
      <c r="J27" s="24" t="s">
        <v>499</v>
      </c>
      <c r="K27" s="33" t="s">
        <v>35</v>
      </c>
      <c r="L27" s="23" t="s">
        <v>26</v>
      </c>
      <c r="M27" s="36">
        <v>93</v>
      </c>
      <c r="N27" s="36">
        <v>6276</v>
      </c>
      <c r="O27" s="27">
        <v>1200</v>
      </c>
      <c r="P27" s="220"/>
    </row>
    <row r="28" spans="1:19" x14ac:dyDescent="0.25">
      <c r="B28" s="108">
        <f>AVERAGE(B20:B21)</f>
        <v>3.9499999999999997</v>
      </c>
      <c r="C28" s="108">
        <f>AVERAGE(C20:C21)</f>
        <v>8.0299999999999994</v>
      </c>
      <c r="E28" s="155">
        <f>AVERAGE(E20:E26)</f>
        <v>1928.5714285714287</v>
      </c>
      <c r="F28" s="155">
        <f>_xlfn.STDEV.P(E20:E26)</f>
        <v>677.63092717893846</v>
      </c>
      <c r="J28">
        <v>7.4</v>
      </c>
      <c r="N28" s="28"/>
      <c r="O28" s="28"/>
    </row>
    <row r="29" spans="1:19" x14ac:dyDescent="0.25">
      <c r="A29" s="28" t="s">
        <v>140</v>
      </c>
      <c r="B29" s="28"/>
      <c r="C29" s="28"/>
      <c r="D29" s="28"/>
      <c r="E29" s="28"/>
      <c r="F29" s="28"/>
      <c r="G29" s="28"/>
      <c r="H29" s="28"/>
      <c r="I29" s="222"/>
      <c r="J29" s="28"/>
      <c r="K29" s="28"/>
      <c r="L29" s="28"/>
      <c r="M29" s="28"/>
      <c r="N29" s="28"/>
      <c r="O29" s="28"/>
    </row>
    <row r="30" spans="1:19" x14ac:dyDescent="0.25">
      <c r="A30" s="28"/>
      <c r="B30" s="28" t="s">
        <v>141</v>
      </c>
      <c r="C30" s="28"/>
      <c r="D30" s="28"/>
      <c r="E30" s="28"/>
      <c r="F30" s="28"/>
      <c r="G30" s="28"/>
      <c r="H30" s="28"/>
      <c r="I30" s="222"/>
      <c r="J30" s="28"/>
      <c r="K30" s="28"/>
      <c r="L30" s="28"/>
      <c r="M30" s="28"/>
      <c r="N30" s="28" t="s">
        <v>34</v>
      </c>
      <c r="O30" s="28"/>
    </row>
    <row r="31" spans="1:19" x14ac:dyDescent="0.25">
      <c r="A31" s="28" t="s">
        <v>264</v>
      </c>
      <c r="B31" s="28"/>
      <c r="C31" s="28"/>
      <c r="D31" s="28"/>
      <c r="E31" s="28"/>
      <c r="F31" s="28"/>
      <c r="G31" s="28"/>
      <c r="H31" s="28"/>
      <c r="I31" s="222"/>
      <c r="J31" s="28" t="s">
        <v>34</v>
      </c>
      <c r="K31" s="28"/>
      <c r="L31" s="28" t="s">
        <v>34</v>
      </c>
      <c r="M31" s="28"/>
      <c r="N31" s="28"/>
      <c r="O31" s="28"/>
    </row>
    <row r="32" spans="1:19" x14ac:dyDescent="0.25">
      <c r="A32" s="59"/>
      <c r="F32" s="28"/>
      <c r="G32" s="28"/>
      <c r="H32" s="28"/>
      <c r="I32" s="222"/>
      <c r="J32" s="28"/>
      <c r="K32" s="28"/>
      <c r="L32" s="28" t="s">
        <v>34</v>
      </c>
      <c r="M32" s="28" t="s">
        <v>34</v>
      </c>
      <c r="N32" s="28"/>
      <c r="O32" s="28"/>
      <c r="R32" s="225" t="s">
        <v>681</v>
      </c>
    </row>
    <row r="33" spans="1:18" x14ac:dyDescent="0.25">
      <c r="A33" s="19" t="s">
        <v>28</v>
      </c>
      <c r="B33" s="28"/>
      <c r="C33" s="28"/>
      <c r="D33" s="28"/>
      <c r="E33" s="28"/>
      <c r="F33" s="28"/>
      <c r="G33" s="28"/>
      <c r="H33" s="28"/>
      <c r="I33" s="222"/>
      <c r="J33" s="28"/>
      <c r="K33" s="28" t="s">
        <v>34</v>
      </c>
      <c r="L33" s="28"/>
      <c r="M33" s="28" t="s">
        <v>34</v>
      </c>
      <c r="N33" s="28"/>
      <c r="O33" s="28"/>
      <c r="R33" s="224">
        <f>6/LINEST(J19:J21,P19:P21,FALSE)</f>
        <v>26547.285944418909</v>
      </c>
    </row>
    <row r="34" spans="1:18" x14ac:dyDescent="0.25">
      <c r="A34" s="28"/>
      <c r="B34" s="22" t="s">
        <v>679</v>
      </c>
      <c r="C34" s="28"/>
      <c r="D34" s="28"/>
      <c r="E34" s="28">
        <f>5.3625/(E35)</f>
        <v>2.8298153034300791E-3</v>
      </c>
      <c r="F34" s="28">
        <f>E34*1000*1000</f>
        <v>2829.8153034300794</v>
      </c>
      <c r="G34" s="28"/>
      <c r="H34" s="28"/>
      <c r="I34" s="222"/>
      <c r="J34" s="28"/>
      <c r="K34" s="28"/>
      <c r="L34" s="28" t="s">
        <v>34</v>
      </c>
      <c r="M34" s="28" t="s">
        <v>34</v>
      </c>
      <c r="N34" s="28"/>
      <c r="O34" s="28"/>
    </row>
    <row r="35" spans="1:18" x14ac:dyDescent="0.25">
      <c r="A35" s="28"/>
      <c r="B35" s="189"/>
      <c r="C35" s="189"/>
      <c r="D35" s="189"/>
      <c r="E35" s="28">
        <f>(2000+65-200+30)</f>
        <v>1895</v>
      </c>
      <c r="F35" s="189"/>
      <c r="G35" s="189"/>
      <c r="H35" s="189"/>
      <c r="I35" s="189"/>
      <c r="J35" s="189"/>
      <c r="K35" s="189"/>
      <c r="L35" s="189" t="s">
        <v>34</v>
      </c>
      <c r="M35" s="28"/>
      <c r="N35" s="28"/>
      <c r="O35" s="28"/>
    </row>
    <row r="36" spans="1:18" x14ac:dyDescent="0.25">
      <c r="A36" s="28"/>
      <c r="B36" s="189"/>
      <c r="C36" s="189"/>
      <c r="D36" s="189"/>
      <c r="F36" t="s">
        <v>355</v>
      </c>
      <c r="G36" s="189"/>
      <c r="H36" s="189"/>
      <c r="I36" s="189"/>
      <c r="J36" s="189"/>
      <c r="K36" s="189"/>
      <c r="L36" s="189"/>
      <c r="M36" s="28"/>
      <c r="N36" s="28"/>
      <c r="O36" s="28"/>
      <c r="R36">
        <v>26548.672566371682</v>
      </c>
    </row>
    <row r="37" spans="1:18" x14ac:dyDescent="0.25">
      <c r="A37" s="28"/>
      <c r="B37" s="22"/>
      <c r="C37" s="28"/>
      <c r="D37" s="28"/>
      <c r="E37" s="189">
        <f>LOG(I19)</f>
        <v>7.4471580313422194</v>
      </c>
      <c r="G37" s="28"/>
      <c r="H37" s="28"/>
      <c r="I37" s="222"/>
      <c r="J37" s="28"/>
      <c r="K37" s="28"/>
      <c r="L37" s="28"/>
      <c r="M37" s="28" t="s">
        <v>34</v>
      </c>
      <c r="N37" s="28"/>
      <c r="O37" s="28"/>
    </row>
    <row r="38" spans="1:18" x14ac:dyDescent="0.25">
      <c r="A38" s="28"/>
      <c r="B38" s="189"/>
      <c r="C38" s="189"/>
      <c r="D38" s="189"/>
      <c r="E38" s="189">
        <f>LOG(I20)</f>
        <v>4</v>
      </c>
      <c r="F38" s="189">
        <f>E$37-E38</f>
        <v>3.4471580313422194</v>
      </c>
      <c r="G38" s="189"/>
      <c r="H38" s="189"/>
      <c r="I38" s="189"/>
      <c r="J38" s="189"/>
      <c r="K38" s="189"/>
      <c r="M38" s="28"/>
      <c r="N38" s="28"/>
      <c r="O38" s="28"/>
    </row>
    <row r="39" spans="1:18" x14ac:dyDescent="0.25">
      <c r="A39" s="28"/>
      <c r="B39" s="189"/>
      <c r="C39" s="189"/>
      <c r="D39" s="189"/>
      <c r="E39" s="189">
        <f>LOG(I21)</f>
        <v>1.1760912590556813</v>
      </c>
      <c r="F39" s="189">
        <f>E$37-E39</f>
        <v>6.2710667722865381</v>
      </c>
      <c r="G39" s="189"/>
      <c r="H39" s="189"/>
      <c r="I39" s="189"/>
      <c r="J39" s="189"/>
      <c r="K39" s="189"/>
      <c r="M39" s="28"/>
      <c r="N39" s="28"/>
      <c r="O39" s="28"/>
    </row>
    <row r="40" spans="1:18" x14ac:dyDescent="0.25">
      <c r="A40" s="28"/>
      <c r="B40" s="69"/>
      <c r="C40" s="87"/>
      <c r="D40" s="87"/>
      <c r="E40" s="189" t="e">
        <f>LOG(I22)</f>
        <v>#NUM!</v>
      </c>
      <c r="F40" s="87"/>
      <c r="G40" s="87"/>
      <c r="H40" s="87"/>
      <c r="I40" s="88"/>
      <c r="J40" s="87"/>
      <c r="K40" s="87"/>
      <c r="L40" s="28"/>
      <c r="M40" s="28"/>
      <c r="N40" s="28"/>
      <c r="O40" s="28"/>
    </row>
    <row r="41" spans="1:18" x14ac:dyDescent="0.25">
      <c r="A41" s="28"/>
      <c r="B41" s="75"/>
      <c r="C41" s="28"/>
      <c r="D41" s="28"/>
      <c r="E41" s="189">
        <f>LOG(I23)</f>
        <v>0.69897000433601886</v>
      </c>
      <c r="F41" s="28"/>
      <c r="G41" s="28"/>
      <c r="H41" s="28"/>
      <c r="I41" s="222"/>
      <c r="J41" s="28"/>
      <c r="K41" s="28"/>
      <c r="N41" s="28"/>
      <c r="O41" s="28"/>
    </row>
    <row r="42" spans="1:18" x14ac:dyDescent="0.25">
      <c r="A42" s="28"/>
      <c r="B42" s="22"/>
      <c r="L42" s="28"/>
      <c r="N42" s="28"/>
      <c r="O42" s="28"/>
    </row>
    <row r="43" spans="1:18" x14ac:dyDescent="0.25">
      <c r="A43" s="28"/>
      <c r="B43" s="22"/>
      <c r="L43" s="28"/>
      <c r="N43" s="28"/>
      <c r="O43" s="28" t="s">
        <v>34</v>
      </c>
    </row>
    <row r="44" spans="1:18" x14ac:dyDescent="0.25">
      <c r="A44" s="28"/>
      <c r="B44" s="22"/>
      <c r="L44" s="28"/>
      <c r="M44" s="28"/>
      <c r="N44" s="28"/>
      <c r="O44" s="28"/>
    </row>
    <row r="45" spans="1:18" x14ac:dyDescent="0.25">
      <c r="B45" s="189"/>
      <c r="C45" s="64"/>
      <c r="D45" s="64"/>
      <c r="E45" s="64"/>
      <c r="F45" s="64"/>
      <c r="G45" s="64"/>
      <c r="H45" s="64"/>
      <c r="I45" s="64"/>
      <c r="J45" s="64"/>
      <c r="K45" s="64"/>
      <c r="L45" s="65"/>
      <c r="M45" s="28"/>
      <c r="N45" s="28"/>
      <c r="O45" s="28"/>
    </row>
    <row r="46" spans="1:18" x14ac:dyDescent="0.25">
      <c r="B46" s="189"/>
    </row>
    <row r="47" spans="1:18" x14ac:dyDescent="0.25">
      <c r="B47" s="22"/>
      <c r="C47" s="28"/>
      <c r="D47" s="28"/>
      <c r="E47" s="28"/>
      <c r="F47" s="28"/>
      <c r="G47" s="28"/>
      <c r="H47" s="28"/>
      <c r="I47" s="222"/>
      <c r="J47" s="28"/>
    </row>
    <row r="48" spans="1:18" x14ac:dyDescent="0.25">
      <c r="B48" s="189"/>
      <c r="C48" s="64"/>
      <c r="D48" s="64"/>
      <c r="E48" s="64"/>
      <c r="F48" s="64"/>
      <c r="G48" s="64"/>
      <c r="H48" s="64"/>
      <c r="I48" s="64"/>
      <c r="J48" s="64"/>
      <c r="K48" s="64"/>
      <c r="L48" s="65"/>
      <c r="O48" t="s">
        <v>34</v>
      </c>
    </row>
    <row r="49" spans="2:14" x14ac:dyDescent="0.25">
      <c r="B49" s="189"/>
      <c r="C49" s="189"/>
      <c r="D49" s="189"/>
      <c r="E49" s="189"/>
      <c r="F49" s="189"/>
      <c r="G49" s="189"/>
      <c r="H49" s="189"/>
      <c r="I49" s="189"/>
      <c r="J49" s="189"/>
      <c r="K49" s="189"/>
      <c r="N49" t="s">
        <v>34</v>
      </c>
    </row>
    <row r="50" spans="2:14" x14ac:dyDescent="0.25">
      <c r="B50" s="189"/>
      <c r="C50" s="189"/>
      <c r="D50" s="189"/>
      <c r="E50" s="189"/>
      <c r="F50" s="189"/>
      <c r="G50" s="189"/>
      <c r="H50" s="189"/>
      <c r="I50" s="189"/>
      <c r="J50" s="189"/>
      <c r="K50" s="189"/>
    </row>
    <row r="51" spans="2:14" x14ac:dyDescent="0.25">
      <c r="B51" s="22"/>
      <c r="C51" s="28"/>
      <c r="D51" s="28"/>
      <c r="E51" s="28"/>
      <c r="F51" s="28"/>
      <c r="G51" s="28"/>
      <c r="H51" s="222"/>
      <c r="I51" s="28"/>
      <c r="J51" s="189"/>
      <c r="K51" s="28"/>
    </row>
    <row r="52" spans="2:14" x14ac:dyDescent="0.25">
      <c r="N52" t="s">
        <v>34</v>
      </c>
    </row>
  </sheetData>
  <pageMargins left="0.7" right="0.7" top="0.75" bottom="0.75" header="0.3" footer="0.3"/>
  <pageSetup scale="61" orientation="landscape" verticalDpi="597" r:id="rId1"/>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6600FF"/>
    <pageSetUpPr fitToPage="1"/>
  </sheetPr>
  <dimension ref="A6:S52"/>
  <sheetViews>
    <sheetView zoomScale="90" zoomScaleNormal="90" workbookViewId="0"/>
  </sheetViews>
  <sheetFormatPr defaultRowHeight="15" x14ac:dyDescent="0.25"/>
  <cols>
    <col min="2" max="2" width="10" customWidth="1"/>
    <col min="9" max="9" width="10.28515625" bestFit="1" customWidth="1"/>
    <col min="11" max="11" width="8.42578125" bestFit="1" customWidth="1"/>
  </cols>
  <sheetData>
    <row r="6" spans="1:15" x14ac:dyDescent="0.25">
      <c r="A6" s="7" t="s">
        <v>12</v>
      </c>
      <c r="B6" s="28"/>
      <c r="C6" s="28"/>
      <c r="D6" s="28"/>
      <c r="E6" s="28"/>
      <c r="F6" s="28"/>
      <c r="G6" s="28"/>
      <c r="H6" s="28"/>
      <c r="I6" s="222"/>
      <c r="J6" s="28"/>
      <c r="K6" s="28"/>
      <c r="L6" s="28"/>
      <c r="M6" s="28"/>
      <c r="N6" s="28"/>
      <c r="O6" s="28"/>
    </row>
    <row r="7" spans="1:15" x14ac:dyDescent="0.25">
      <c r="A7" s="30" t="s">
        <v>13</v>
      </c>
      <c r="B7" s="30">
        <v>42135</v>
      </c>
    </row>
    <row r="8" spans="1:15" x14ac:dyDescent="0.25">
      <c r="A8" s="28" t="s">
        <v>14</v>
      </c>
      <c r="B8" s="28">
        <v>21</v>
      </c>
      <c r="C8" s="28" t="s">
        <v>673</v>
      </c>
      <c r="D8" s="28"/>
      <c r="E8" s="28"/>
      <c r="F8" s="28"/>
      <c r="G8" s="28"/>
      <c r="H8" s="28"/>
      <c r="I8" s="222"/>
      <c r="J8" s="28"/>
      <c r="K8" s="28" t="s">
        <v>34</v>
      </c>
      <c r="L8" s="28" t="s">
        <v>34</v>
      </c>
      <c r="M8" s="28"/>
      <c r="N8" s="28"/>
      <c r="O8" s="28"/>
    </row>
    <row r="9" spans="1:15" x14ac:dyDescent="0.25">
      <c r="A9" s="28" t="s">
        <v>15</v>
      </c>
      <c r="B9" s="28">
        <v>10</v>
      </c>
      <c r="C9" s="28" t="s">
        <v>240</v>
      </c>
      <c r="D9" s="28"/>
      <c r="E9" s="28"/>
      <c r="F9" s="28"/>
      <c r="G9" s="28"/>
      <c r="H9" s="28"/>
      <c r="I9" s="222"/>
      <c r="J9" s="28"/>
      <c r="K9" s="28"/>
      <c r="L9" s="28"/>
      <c r="M9" s="28"/>
      <c r="N9" s="28"/>
      <c r="O9" s="28"/>
    </row>
    <row r="10" spans="1:15" x14ac:dyDescent="0.25">
      <c r="A10" s="28" t="s">
        <v>16</v>
      </c>
      <c r="B10" s="31">
        <v>2000</v>
      </c>
      <c r="C10" s="28" t="s">
        <v>695</v>
      </c>
      <c r="D10" s="28"/>
      <c r="E10" s="28"/>
      <c r="F10" s="28"/>
      <c r="G10" s="28"/>
      <c r="H10" s="28"/>
      <c r="I10" s="222" t="s">
        <v>34</v>
      </c>
      <c r="J10" s="28" t="s">
        <v>34</v>
      </c>
      <c r="K10" s="28" t="s">
        <v>34</v>
      </c>
      <c r="L10" s="28" t="s">
        <v>34</v>
      </c>
      <c r="M10" s="28" t="s">
        <v>34</v>
      </c>
      <c r="N10" s="28" t="s">
        <v>34</v>
      </c>
      <c r="O10" s="28"/>
    </row>
    <row r="11" spans="1:15" x14ac:dyDescent="0.25">
      <c r="A11" s="28"/>
      <c r="B11" s="31" t="s">
        <v>661</v>
      </c>
      <c r="C11" s="28"/>
      <c r="D11" s="28"/>
      <c r="E11" s="28"/>
      <c r="F11" s="28"/>
      <c r="G11" s="28"/>
      <c r="H11" s="28"/>
      <c r="I11" s="222"/>
      <c r="J11" s="28"/>
      <c r="K11" s="28" t="s">
        <v>34</v>
      </c>
      <c r="L11" s="28"/>
      <c r="M11" s="28"/>
      <c r="N11" s="28"/>
      <c r="O11" s="28"/>
    </row>
    <row r="12" spans="1:15" x14ac:dyDescent="0.25">
      <c r="A12" s="28"/>
      <c r="B12" s="31">
        <v>65</v>
      </c>
      <c r="C12" s="28" t="s">
        <v>694</v>
      </c>
      <c r="D12" s="28"/>
      <c r="E12" s="28"/>
      <c r="F12" s="28"/>
      <c r="G12" s="28"/>
      <c r="H12" s="28"/>
      <c r="I12" s="222"/>
      <c r="J12" s="28"/>
      <c r="K12" s="28"/>
      <c r="L12" s="28"/>
      <c r="M12" s="28"/>
      <c r="N12" s="28"/>
      <c r="O12" s="28"/>
    </row>
    <row r="13" spans="1:15" x14ac:dyDescent="0.25">
      <c r="A13" s="28"/>
      <c r="B13" s="31">
        <v>8.25</v>
      </c>
      <c r="C13" s="28" t="s">
        <v>697</v>
      </c>
      <c r="D13" s="28"/>
      <c r="E13" s="28"/>
      <c r="F13" s="28"/>
      <c r="G13" s="28"/>
      <c r="H13" s="28"/>
      <c r="I13" s="222"/>
      <c r="J13" s="28"/>
      <c r="K13" s="28"/>
      <c r="L13" s="28"/>
      <c r="M13" s="28"/>
      <c r="N13" s="28"/>
      <c r="O13" s="28"/>
    </row>
    <row r="14" spans="1:15" x14ac:dyDescent="0.25">
      <c r="A14" s="28"/>
      <c r="B14" s="31">
        <v>200</v>
      </c>
      <c r="C14" s="87" t="s">
        <v>696</v>
      </c>
      <c r="D14" s="28"/>
      <c r="E14" s="28"/>
      <c r="F14" s="28"/>
      <c r="G14" s="28"/>
      <c r="H14" s="28"/>
      <c r="I14" s="231"/>
      <c r="J14" s="28"/>
      <c r="K14" s="28"/>
      <c r="L14" s="28"/>
      <c r="M14" s="28"/>
      <c r="N14" s="28"/>
      <c r="O14" s="28"/>
    </row>
    <row r="15" spans="1:15" x14ac:dyDescent="0.25">
      <c r="A15" s="28"/>
      <c r="B15" s="31">
        <v>0</v>
      </c>
      <c r="C15" s="87" t="s">
        <v>698</v>
      </c>
      <c r="D15" s="28"/>
      <c r="E15" s="28"/>
      <c r="F15" s="28"/>
      <c r="G15" s="28"/>
      <c r="H15" s="28"/>
      <c r="I15" s="231"/>
      <c r="J15" s="28"/>
      <c r="K15" s="28"/>
      <c r="L15" s="28"/>
      <c r="M15" s="28"/>
      <c r="N15" s="28"/>
      <c r="O15" s="28"/>
    </row>
    <row r="16" spans="1:15" x14ac:dyDescent="0.25">
      <c r="A16" s="28"/>
      <c r="B16" s="232">
        <f>(B12*B13/100*1000)/(B10+B12-B14+B15)*1000</f>
        <v>2875.3351206434313</v>
      </c>
      <c r="C16" s="28" t="s">
        <v>700</v>
      </c>
      <c r="D16" s="28"/>
      <c r="E16" s="28"/>
      <c r="F16" s="28"/>
      <c r="G16" s="28"/>
      <c r="H16" s="28"/>
      <c r="I16" s="231"/>
      <c r="J16" s="28"/>
      <c r="K16" s="28"/>
      <c r="L16" s="28"/>
      <c r="M16" s="28"/>
      <c r="N16" s="28"/>
      <c r="O16" s="28"/>
    </row>
    <row r="17" spans="1:19" ht="15.75" thickBot="1" x14ac:dyDescent="0.3">
      <c r="A17" s="28"/>
      <c r="B17" s="28" t="s">
        <v>647</v>
      </c>
      <c r="C17" s="28"/>
      <c r="D17" s="28"/>
      <c r="E17" s="28"/>
      <c r="F17" s="28"/>
      <c r="G17" s="28"/>
      <c r="H17" s="28"/>
      <c r="I17" s="231"/>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19" ht="15.75" thickBot="1" x14ac:dyDescent="0.3">
      <c r="A19" s="32">
        <v>0</v>
      </c>
      <c r="B19" s="51">
        <v>3.6</v>
      </c>
      <c r="C19" s="182">
        <v>9.1199999999999992</v>
      </c>
      <c r="D19" s="23">
        <v>8.3800000000000008</v>
      </c>
      <c r="E19" s="23">
        <v>0.12</v>
      </c>
      <c r="F19" s="23">
        <v>0.03</v>
      </c>
      <c r="G19" s="23">
        <v>944</v>
      </c>
      <c r="H19" s="23">
        <v>950</v>
      </c>
      <c r="I19" s="33">
        <v>46000000</v>
      </c>
      <c r="J19" s="125">
        <f t="shared" ref="J19:J24" si="0">LOG(I$19)-LOG(I19)</f>
        <v>0</v>
      </c>
      <c r="K19" s="33" t="s">
        <v>35</v>
      </c>
      <c r="L19" s="23" t="s">
        <v>26</v>
      </c>
      <c r="M19" s="23" t="s">
        <v>26</v>
      </c>
      <c r="N19" s="23" t="s">
        <v>26</v>
      </c>
      <c r="O19" s="23" t="s">
        <v>26</v>
      </c>
      <c r="P19" s="233">
        <f t="shared" ref="P19:P24" si="1">B$16*A19</f>
        <v>0</v>
      </c>
      <c r="Q19" s="233">
        <f>6/LINEST(J19:J24,P19:P24,FALSE)</f>
        <v>304413.09687603358</v>
      </c>
      <c r="R19" s="233">
        <f>Q19/3000</f>
        <v>101.47103229201119</v>
      </c>
      <c r="S19" s="233">
        <f>(J28/LINEST($J19:$J24,$P19:$P24,FALSE))/$B$16</f>
        <v>135.86711041766219</v>
      </c>
    </row>
    <row r="20" spans="1:19" ht="15.75" thickBot="1" x14ac:dyDescent="0.3">
      <c r="A20" s="32">
        <v>5</v>
      </c>
      <c r="B20" s="125">
        <v>4</v>
      </c>
      <c r="C20" s="50">
        <v>10.24</v>
      </c>
      <c r="D20" s="24">
        <v>9.73</v>
      </c>
      <c r="E20" s="24">
        <v>2000</v>
      </c>
      <c r="F20" s="24">
        <v>0.01</v>
      </c>
      <c r="G20" s="24">
        <v>438</v>
      </c>
      <c r="H20" s="23" t="s">
        <v>26</v>
      </c>
      <c r="I20" s="33">
        <v>63000000</v>
      </c>
      <c r="J20" s="125">
        <f t="shared" si="0"/>
        <v>-0.13658271777200781</v>
      </c>
      <c r="K20" s="33" t="s">
        <v>35</v>
      </c>
      <c r="L20" s="23" t="s">
        <v>26</v>
      </c>
      <c r="M20" s="23" t="s">
        <v>26</v>
      </c>
      <c r="N20" s="23" t="s">
        <v>26</v>
      </c>
      <c r="O20" s="23" t="s">
        <v>26</v>
      </c>
      <c r="P20" s="233">
        <f t="shared" si="1"/>
        <v>14376.675603217156</v>
      </c>
      <c r="Q20" s="228"/>
    </row>
    <row r="21" spans="1:19" ht="15.75" thickBot="1" x14ac:dyDescent="0.3">
      <c r="A21" s="32">
        <v>10</v>
      </c>
      <c r="B21" s="125">
        <v>4</v>
      </c>
      <c r="C21" s="24">
        <v>10.130000000000001</v>
      </c>
      <c r="D21" s="50">
        <v>9.8800000000000008</v>
      </c>
      <c r="E21" s="24">
        <v>5000</v>
      </c>
      <c r="F21" s="50">
        <v>0.13</v>
      </c>
      <c r="G21" s="24">
        <v>435</v>
      </c>
      <c r="H21" s="23" t="s">
        <v>26</v>
      </c>
      <c r="I21" s="33">
        <v>26000000</v>
      </c>
      <c r="J21" s="125">
        <f t="shared" si="0"/>
        <v>0.24778448371075612</v>
      </c>
      <c r="K21" s="33" t="s">
        <v>35</v>
      </c>
      <c r="L21" s="23" t="s">
        <v>26</v>
      </c>
      <c r="M21" s="23" t="s">
        <v>26</v>
      </c>
      <c r="N21" s="23" t="s">
        <v>26</v>
      </c>
      <c r="O21" s="23" t="s">
        <v>26</v>
      </c>
      <c r="P21" s="233">
        <f t="shared" si="1"/>
        <v>28753.351206434312</v>
      </c>
      <c r="Q21" s="228"/>
    </row>
    <row r="22" spans="1:19" ht="15.75" thickBot="1" x14ac:dyDescent="0.3">
      <c r="A22" s="32">
        <v>20</v>
      </c>
      <c r="B22" s="125">
        <v>4</v>
      </c>
      <c r="C22" s="24">
        <v>10.24</v>
      </c>
      <c r="D22" s="24">
        <v>9.8800000000000008</v>
      </c>
      <c r="E22" s="24">
        <v>4000</v>
      </c>
      <c r="F22" s="24">
        <v>1.93</v>
      </c>
      <c r="G22" s="24">
        <v>475</v>
      </c>
      <c r="H22" s="23" t="s">
        <v>26</v>
      </c>
      <c r="I22" s="33">
        <v>10000000</v>
      </c>
      <c r="J22" s="125">
        <f t="shared" si="0"/>
        <v>0.66275783168157432</v>
      </c>
      <c r="K22" s="33" t="s">
        <v>35</v>
      </c>
      <c r="L22" s="23" t="s">
        <v>26</v>
      </c>
      <c r="M22" s="23" t="s">
        <v>26</v>
      </c>
      <c r="N22" s="23" t="s">
        <v>26</v>
      </c>
      <c r="O22" s="23" t="s">
        <v>26</v>
      </c>
      <c r="P22" s="233">
        <f t="shared" si="1"/>
        <v>57506.702412868624</v>
      </c>
      <c r="Q22" s="228"/>
    </row>
    <row r="23" spans="1:19" ht="15.75" thickBot="1" x14ac:dyDescent="0.3">
      <c r="A23" s="32">
        <v>30</v>
      </c>
      <c r="B23" s="125">
        <v>4</v>
      </c>
      <c r="C23" s="24">
        <v>10.23</v>
      </c>
      <c r="D23" s="24">
        <v>9.8800000000000008</v>
      </c>
      <c r="E23" s="24">
        <v>9000</v>
      </c>
      <c r="F23" s="24">
        <v>0.23</v>
      </c>
      <c r="G23" s="24">
        <v>470</v>
      </c>
      <c r="H23" s="23" t="s">
        <v>26</v>
      </c>
      <c r="I23" s="33">
        <v>690000</v>
      </c>
      <c r="J23" s="125">
        <f t="shared" si="0"/>
        <v>1.8239087409443187</v>
      </c>
      <c r="K23" s="33" t="s">
        <v>35</v>
      </c>
      <c r="L23" s="23" t="s">
        <v>26</v>
      </c>
      <c r="M23" s="23" t="s">
        <v>26</v>
      </c>
      <c r="N23" s="23" t="s">
        <v>26</v>
      </c>
      <c r="O23" s="23" t="s">
        <v>26</v>
      </c>
      <c r="P23" s="233">
        <f t="shared" si="1"/>
        <v>86260.05361930294</v>
      </c>
      <c r="Q23" s="228"/>
    </row>
    <row r="24" spans="1:19" ht="15.75" thickBot="1" x14ac:dyDescent="0.3">
      <c r="A24" s="32">
        <v>60</v>
      </c>
      <c r="B24" s="125">
        <v>4</v>
      </c>
      <c r="C24" s="24">
        <v>10.210000000000001</v>
      </c>
      <c r="D24" s="50">
        <v>10.06</v>
      </c>
      <c r="E24" s="24">
        <v>7000</v>
      </c>
      <c r="F24" s="58">
        <v>0.77</v>
      </c>
      <c r="G24" s="24">
        <v>387</v>
      </c>
      <c r="H24" s="23" t="s">
        <v>26</v>
      </c>
      <c r="I24" s="33">
        <v>12000</v>
      </c>
      <c r="J24" s="125">
        <f t="shared" si="0"/>
        <v>3.5835765856339492</v>
      </c>
      <c r="K24" s="33" t="s">
        <v>35</v>
      </c>
      <c r="L24" s="23" t="s">
        <v>26</v>
      </c>
      <c r="M24" s="23" t="s">
        <v>26</v>
      </c>
      <c r="N24" s="23" t="s">
        <v>26</v>
      </c>
      <c r="O24" s="23" t="s">
        <v>26</v>
      </c>
      <c r="P24" s="233">
        <f t="shared" si="1"/>
        <v>172520.10723860588</v>
      </c>
      <c r="Q24" s="228"/>
    </row>
    <row r="25" spans="1:19" ht="15.75" thickBot="1" x14ac:dyDescent="0.3">
      <c r="A25" s="32">
        <v>120</v>
      </c>
      <c r="B25" s="125">
        <v>4.4000000000000004</v>
      </c>
      <c r="C25" s="50">
        <v>10.14</v>
      </c>
      <c r="D25" s="24">
        <v>10.220000000000001</v>
      </c>
      <c r="E25" s="24">
        <v>9000</v>
      </c>
      <c r="F25" s="100">
        <v>0.31</v>
      </c>
      <c r="G25" s="24">
        <v>516</v>
      </c>
      <c r="H25" s="23" t="s">
        <v>26</v>
      </c>
      <c r="I25" s="33">
        <v>0</v>
      </c>
      <c r="J25" s="24" t="s">
        <v>639</v>
      </c>
      <c r="K25" s="33" t="s">
        <v>35</v>
      </c>
      <c r="L25" s="23" t="s">
        <v>26</v>
      </c>
      <c r="M25" s="23" t="s">
        <v>26</v>
      </c>
      <c r="N25" s="23" t="s">
        <v>26</v>
      </c>
      <c r="O25" s="23" t="s">
        <v>26</v>
      </c>
      <c r="P25" s="233"/>
      <c r="Q25" s="228"/>
    </row>
    <row r="26" spans="1:19" ht="15.75" thickBot="1" x14ac:dyDescent="0.3">
      <c r="A26" s="32">
        <v>180</v>
      </c>
      <c r="B26" s="125">
        <v>5.0999999999999996</v>
      </c>
      <c r="C26" s="50">
        <v>10.06</v>
      </c>
      <c r="D26" s="50">
        <v>10</v>
      </c>
      <c r="E26" s="24">
        <v>5000</v>
      </c>
      <c r="F26" s="100">
        <v>0.56000000000000005</v>
      </c>
      <c r="G26" s="24">
        <v>386</v>
      </c>
      <c r="H26" s="23" t="s">
        <v>26</v>
      </c>
      <c r="I26" s="33">
        <v>0</v>
      </c>
      <c r="J26" s="24" t="s">
        <v>639</v>
      </c>
      <c r="K26" s="33" t="s">
        <v>35</v>
      </c>
      <c r="L26" s="23" t="s">
        <v>26</v>
      </c>
      <c r="M26" s="23" t="s">
        <v>26</v>
      </c>
      <c r="N26" s="23" t="s">
        <v>26</v>
      </c>
      <c r="O26" s="23" t="s">
        <v>26</v>
      </c>
      <c r="P26" s="233"/>
      <c r="Q26" s="228"/>
    </row>
    <row r="27" spans="1:19" ht="15.75" thickBot="1" x14ac:dyDescent="0.3">
      <c r="A27" s="32">
        <v>240</v>
      </c>
      <c r="B27" s="125">
        <v>4.7</v>
      </c>
      <c r="C27" s="24">
        <v>10.07</v>
      </c>
      <c r="D27" s="50">
        <v>10.38</v>
      </c>
      <c r="E27" s="24">
        <v>6000</v>
      </c>
      <c r="F27" s="100">
        <v>0.77</v>
      </c>
      <c r="G27" s="24">
        <v>518</v>
      </c>
      <c r="H27" s="24">
        <v>974</v>
      </c>
      <c r="I27" s="33">
        <v>0</v>
      </c>
      <c r="J27" s="24" t="s">
        <v>639</v>
      </c>
      <c r="K27" s="33" t="s">
        <v>35</v>
      </c>
      <c r="L27" s="23" t="s">
        <v>26</v>
      </c>
      <c r="M27" s="36">
        <v>156</v>
      </c>
      <c r="N27" s="36">
        <v>5160</v>
      </c>
      <c r="O27" s="27">
        <v>1875</v>
      </c>
      <c r="P27" s="220"/>
    </row>
    <row r="28" spans="1:19" x14ac:dyDescent="0.25">
      <c r="B28" s="108">
        <f>AVERAGE(B20:B24)</f>
        <v>4</v>
      </c>
      <c r="C28" s="108">
        <f>AVERAGE(C20:C24)</f>
        <v>10.210000000000001</v>
      </c>
      <c r="E28" s="155">
        <f>AVERAGE(E20:E27)</f>
        <v>5875</v>
      </c>
      <c r="F28" s="155">
        <f>_xlfn.STDEV.P(E20:E27)</f>
        <v>2260.3926650031403</v>
      </c>
      <c r="J28">
        <v>7.7</v>
      </c>
      <c r="N28" s="28"/>
      <c r="O28" s="28"/>
    </row>
    <row r="29" spans="1:19" x14ac:dyDescent="0.25">
      <c r="A29" s="28" t="s">
        <v>140</v>
      </c>
      <c r="B29" s="28"/>
      <c r="C29" s="28"/>
      <c r="D29" s="28"/>
      <c r="E29" s="28"/>
      <c r="F29" s="28"/>
      <c r="G29" s="28"/>
      <c r="H29" s="28"/>
      <c r="I29" s="222"/>
      <c r="J29" s="28"/>
      <c r="K29" s="28"/>
      <c r="L29" s="28"/>
      <c r="M29" s="28"/>
      <c r="N29" s="28"/>
      <c r="O29" s="28"/>
    </row>
    <row r="30" spans="1:19" x14ac:dyDescent="0.25">
      <c r="A30" s="28"/>
      <c r="B30" s="28" t="s">
        <v>141</v>
      </c>
      <c r="C30" s="28"/>
      <c r="D30" s="28"/>
      <c r="E30" s="28"/>
      <c r="F30" s="28"/>
      <c r="G30" s="28"/>
      <c r="H30" s="28"/>
      <c r="I30" s="222"/>
      <c r="J30" s="28"/>
      <c r="K30" s="28"/>
      <c r="L30" s="28"/>
      <c r="M30" s="28"/>
      <c r="N30" s="28" t="s">
        <v>34</v>
      </c>
      <c r="O30" s="28"/>
    </row>
    <row r="31" spans="1:19" x14ac:dyDescent="0.25">
      <c r="A31" s="28" t="s">
        <v>264</v>
      </c>
      <c r="B31" s="28"/>
      <c r="C31" s="28"/>
      <c r="D31" s="28"/>
      <c r="E31" s="28"/>
      <c r="F31" s="28"/>
      <c r="G31" s="28"/>
      <c r="H31" s="28"/>
      <c r="I31" s="222"/>
      <c r="J31" s="28" t="s">
        <v>34</v>
      </c>
      <c r="K31" s="28"/>
      <c r="L31" s="28" t="s">
        <v>34</v>
      </c>
      <c r="M31" s="28"/>
      <c r="N31" s="28"/>
      <c r="O31" s="28"/>
      <c r="R31" s="225"/>
    </row>
    <row r="32" spans="1:19" x14ac:dyDescent="0.25">
      <c r="A32" s="59"/>
      <c r="F32" s="28"/>
      <c r="G32" s="28"/>
      <c r="H32" s="28"/>
      <c r="I32" s="222"/>
      <c r="J32" s="28"/>
      <c r="K32" s="28"/>
      <c r="L32" s="28" t="s">
        <v>34</v>
      </c>
      <c r="M32" s="28" t="s">
        <v>34</v>
      </c>
      <c r="N32" s="28"/>
      <c r="O32" s="28"/>
      <c r="R32" s="224"/>
    </row>
    <row r="33" spans="1:18" x14ac:dyDescent="0.25">
      <c r="A33" s="19" t="s">
        <v>28</v>
      </c>
      <c r="B33" s="28"/>
      <c r="C33" s="28"/>
      <c r="D33" s="28"/>
      <c r="E33" s="28"/>
      <c r="F33" s="28"/>
      <c r="G33" s="28"/>
      <c r="H33" s="28"/>
      <c r="I33" s="222"/>
      <c r="J33" s="28"/>
      <c r="K33" s="28" t="s">
        <v>34</v>
      </c>
      <c r="L33" s="28"/>
      <c r="M33" s="28" t="s">
        <v>34</v>
      </c>
      <c r="N33" s="28"/>
      <c r="O33" s="28"/>
    </row>
    <row r="34" spans="1:18" x14ac:dyDescent="0.25">
      <c r="A34" s="28"/>
      <c r="B34" s="22" t="s">
        <v>679</v>
      </c>
      <c r="C34" s="28"/>
      <c r="D34" s="28"/>
      <c r="E34" s="28">
        <f>5.3625/E35</f>
        <v>2.8753351206434316E-3</v>
      </c>
      <c r="F34" s="28">
        <f>E34*1000*1000</f>
        <v>2875.3351206434313</v>
      </c>
      <c r="G34" s="28"/>
      <c r="H34" s="28"/>
      <c r="I34" s="222"/>
      <c r="J34" s="28"/>
      <c r="K34" s="28"/>
      <c r="L34" s="28" t="s">
        <v>34</v>
      </c>
      <c r="M34" s="28" t="s">
        <v>34</v>
      </c>
      <c r="N34" s="28"/>
      <c r="O34" s="28"/>
    </row>
    <row r="35" spans="1:18" x14ac:dyDescent="0.25">
      <c r="A35" s="28"/>
      <c r="B35" s="189"/>
      <c r="C35" s="189"/>
      <c r="D35" s="189"/>
      <c r="E35" s="28">
        <f>(2000+65-200)</f>
        <v>1865</v>
      </c>
      <c r="F35" s="189"/>
      <c r="G35" s="189"/>
      <c r="H35" s="189"/>
      <c r="I35" s="189"/>
      <c r="J35" s="189"/>
      <c r="K35" s="189"/>
      <c r="L35" s="189" t="s">
        <v>34</v>
      </c>
      <c r="M35" s="28"/>
      <c r="N35" s="28"/>
      <c r="O35" s="28"/>
      <c r="R35" s="224"/>
    </row>
    <row r="36" spans="1:18" x14ac:dyDescent="0.25">
      <c r="A36" s="28"/>
      <c r="B36" s="189"/>
      <c r="C36" s="189"/>
      <c r="D36" s="189"/>
      <c r="E36" s="189"/>
      <c r="F36" s="189"/>
      <c r="G36" s="189"/>
      <c r="H36" s="189"/>
      <c r="I36" s="189"/>
      <c r="J36" s="189"/>
      <c r="K36" s="189"/>
      <c r="L36" s="189"/>
      <c r="M36" s="28"/>
      <c r="N36" s="28"/>
      <c r="O36" s="28"/>
    </row>
    <row r="37" spans="1:18" x14ac:dyDescent="0.25">
      <c r="A37" s="28"/>
      <c r="B37" s="22"/>
      <c r="C37" s="28"/>
      <c r="D37" s="28"/>
      <c r="E37" s="28"/>
      <c r="F37" s="28"/>
      <c r="G37" s="28"/>
      <c r="H37" s="28"/>
      <c r="I37" s="222"/>
      <c r="J37" s="28"/>
      <c r="K37" s="28"/>
      <c r="L37" s="28"/>
      <c r="M37" s="28" t="s">
        <v>34</v>
      </c>
      <c r="N37" s="28"/>
      <c r="O37" s="28"/>
    </row>
    <row r="38" spans="1:18" x14ac:dyDescent="0.25">
      <c r="A38" s="28"/>
      <c r="B38" s="189"/>
      <c r="C38" s="189"/>
      <c r="D38" s="189"/>
      <c r="E38" s="189"/>
      <c r="F38" s="189"/>
      <c r="G38" s="189"/>
      <c r="H38" s="189"/>
      <c r="I38" s="189"/>
      <c r="J38" s="189"/>
      <c r="K38" s="189"/>
      <c r="M38" s="28"/>
      <c r="N38" s="28"/>
      <c r="O38" s="28"/>
    </row>
    <row r="39" spans="1:18" x14ac:dyDescent="0.25">
      <c r="A39" s="28"/>
      <c r="B39" s="189"/>
      <c r="C39" s="189"/>
      <c r="D39" s="189"/>
      <c r="E39" s="189"/>
      <c r="F39" s="189"/>
      <c r="G39" s="189"/>
      <c r="H39" s="189"/>
      <c r="I39" s="189"/>
      <c r="J39" s="189"/>
      <c r="K39" s="189"/>
      <c r="M39" s="28"/>
      <c r="N39" s="28"/>
      <c r="O39" s="28"/>
    </row>
    <row r="40" spans="1:18" x14ac:dyDescent="0.25">
      <c r="A40" s="28"/>
      <c r="B40" s="69"/>
      <c r="C40" s="87"/>
      <c r="D40" s="87"/>
      <c r="E40" s="87"/>
      <c r="F40" s="87"/>
      <c r="G40" s="87"/>
      <c r="H40" s="87"/>
      <c r="I40" s="88"/>
      <c r="J40" s="87"/>
      <c r="K40" s="87"/>
      <c r="L40" s="28"/>
      <c r="M40" s="28"/>
      <c r="N40" s="28"/>
      <c r="O40" s="28"/>
    </row>
    <row r="41" spans="1:18" x14ac:dyDescent="0.25">
      <c r="A41" s="28"/>
      <c r="B41" s="75"/>
      <c r="C41" s="28"/>
      <c r="D41" s="28"/>
      <c r="E41" s="28"/>
      <c r="F41" s="28"/>
      <c r="G41" s="28"/>
      <c r="H41" s="28"/>
      <c r="I41" s="222"/>
      <c r="J41" s="28"/>
      <c r="K41" s="28"/>
      <c r="N41" s="28"/>
      <c r="O41" s="28"/>
    </row>
    <row r="42" spans="1:18" x14ac:dyDescent="0.25">
      <c r="A42" s="28"/>
      <c r="B42" s="22"/>
      <c r="L42" s="28"/>
      <c r="N42" s="28"/>
      <c r="O42" s="28"/>
    </row>
    <row r="43" spans="1:18" x14ac:dyDescent="0.25">
      <c r="A43" s="28"/>
      <c r="B43" s="22"/>
      <c r="L43" s="28"/>
      <c r="N43" s="28"/>
      <c r="O43" s="28" t="s">
        <v>34</v>
      </c>
    </row>
    <row r="44" spans="1:18" x14ac:dyDescent="0.25">
      <c r="A44" s="28"/>
      <c r="B44" s="22"/>
      <c r="L44" s="28"/>
      <c r="M44" s="28"/>
      <c r="N44" s="28"/>
      <c r="O44" s="28"/>
    </row>
    <row r="45" spans="1:18" x14ac:dyDescent="0.25">
      <c r="B45" s="189"/>
      <c r="C45" s="64"/>
      <c r="D45" s="64"/>
      <c r="E45" s="64"/>
      <c r="F45" s="64"/>
      <c r="G45" s="64"/>
      <c r="H45" s="64"/>
      <c r="I45" s="64"/>
      <c r="J45" s="64"/>
      <c r="K45" s="64"/>
      <c r="L45" s="65"/>
      <c r="M45" s="28"/>
      <c r="N45" s="28"/>
      <c r="O45" s="28"/>
    </row>
    <row r="46" spans="1:18" x14ac:dyDescent="0.25">
      <c r="B46" s="189"/>
    </row>
    <row r="47" spans="1:18" x14ac:dyDescent="0.25">
      <c r="B47" s="22"/>
      <c r="C47" s="28"/>
      <c r="D47" s="28"/>
      <c r="E47" s="28"/>
      <c r="F47" s="28"/>
      <c r="G47" s="28"/>
      <c r="H47" s="28"/>
      <c r="I47" s="222"/>
      <c r="J47" s="28"/>
    </row>
    <row r="48" spans="1:18" x14ac:dyDescent="0.25">
      <c r="B48" s="189"/>
      <c r="C48" s="64"/>
      <c r="D48" s="64"/>
      <c r="E48" s="64"/>
      <c r="F48" s="64"/>
      <c r="G48" s="64"/>
      <c r="H48" s="64"/>
      <c r="I48" s="64"/>
      <c r="J48" s="64"/>
      <c r="K48" s="64"/>
      <c r="L48" s="65"/>
      <c r="O48" t="s">
        <v>34</v>
      </c>
    </row>
    <row r="49" spans="2:14" x14ac:dyDescent="0.25">
      <c r="B49" s="189"/>
      <c r="C49" s="189"/>
      <c r="D49" s="189"/>
      <c r="E49" s="189"/>
      <c r="F49" s="189"/>
      <c r="G49" s="189"/>
      <c r="H49" s="189"/>
      <c r="I49" s="189"/>
      <c r="J49" s="189"/>
      <c r="K49" s="189"/>
      <c r="N49" t="s">
        <v>34</v>
      </c>
    </row>
    <row r="50" spans="2:14" x14ac:dyDescent="0.25">
      <c r="B50" s="189"/>
      <c r="C50" s="189"/>
      <c r="D50" s="189"/>
      <c r="E50" s="189"/>
      <c r="F50" s="189"/>
      <c r="G50" s="189"/>
      <c r="H50" s="189"/>
      <c r="I50" s="189"/>
      <c r="J50" s="189"/>
      <c r="K50" s="189"/>
    </row>
    <row r="51" spans="2:14" x14ac:dyDescent="0.25">
      <c r="B51" s="22"/>
      <c r="C51" s="28"/>
      <c r="D51" s="28"/>
      <c r="E51" s="28"/>
      <c r="F51" s="28"/>
      <c r="G51" s="28"/>
      <c r="H51" s="222"/>
      <c r="I51" s="28"/>
      <c r="J51" s="189"/>
      <c r="K51" s="28"/>
    </row>
    <row r="52" spans="2:14" x14ac:dyDescent="0.25">
      <c r="N52" t="s">
        <v>34</v>
      </c>
    </row>
  </sheetData>
  <pageMargins left="0.7" right="0.7" top="0.75" bottom="0.75" header="0.3" footer="0.3"/>
  <pageSetup scale="61" orientation="landscape" verticalDpi="597"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workbookViewId="0"/>
  </sheetViews>
  <sheetFormatPr defaultRowHeight="15" x14ac:dyDescent="0.25"/>
  <cols>
    <col min="1" max="1" width="19.140625" customWidth="1"/>
    <col min="2" max="2" width="14" customWidth="1"/>
    <col min="3" max="3" width="13" customWidth="1"/>
    <col min="5" max="5" width="11.28515625" bestFit="1" customWidth="1"/>
    <col min="6" max="6" width="13" customWidth="1"/>
    <col min="7" max="8" width="11.28515625" customWidth="1"/>
    <col min="9" max="9" width="11.5703125" customWidth="1"/>
  </cols>
  <sheetData>
    <row r="1" spans="1:10" x14ac:dyDescent="0.25">
      <c r="A1" s="367" t="s">
        <v>822</v>
      </c>
      <c r="B1" s="367"/>
      <c r="C1" s="90"/>
      <c r="D1" s="367"/>
      <c r="E1" s="367"/>
      <c r="F1" s="367"/>
      <c r="G1" s="367"/>
      <c r="H1" s="367"/>
      <c r="I1" s="367"/>
      <c r="J1" s="90"/>
    </row>
    <row r="2" spans="1:10" ht="42" thickBot="1" x14ac:dyDescent="0.3">
      <c r="A2" s="368" t="s">
        <v>823</v>
      </c>
      <c r="B2" s="368" t="s">
        <v>354</v>
      </c>
      <c r="C2" s="369" t="s">
        <v>824</v>
      </c>
      <c r="D2" s="370" t="s">
        <v>758</v>
      </c>
      <c r="E2" s="370" t="s">
        <v>759</v>
      </c>
      <c r="F2" s="369" t="s">
        <v>825</v>
      </c>
      <c r="G2" s="371" t="s">
        <v>826</v>
      </c>
      <c r="H2" s="372" t="s">
        <v>827</v>
      </c>
      <c r="I2" s="369" t="s">
        <v>828</v>
      </c>
      <c r="J2" s="369" t="s">
        <v>829</v>
      </c>
    </row>
    <row r="3" spans="1:10" x14ac:dyDescent="0.25">
      <c r="A3" s="373" t="s">
        <v>830</v>
      </c>
      <c r="B3" s="373" t="s">
        <v>900</v>
      </c>
      <c r="C3" s="374" t="s">
        <v>831</v>
      </c>
      <c r="D3" s="375">
        <v>19.899999999999999</v>
      </c>
      <c r="E3" s="376">
        <v>9.23</v>
      </c>
      <c r="F3" s="375">
        <v>9.2100000000000009</v>
      </c>
      <c r="G3" s="376" t="s">
        <v>832</v>
      </c>
      <c r="H3" s="376">
        <v>10</v>
      </c>
      <c r="I3" s="376">
        <v>6.4008497149871566</v>
      </c>
      <c r="J3" s="377">
        <v>2</v>
      </c>
    </row>
    <row r="4" spans="1:10" x14ac:dyDescent="0.25">
      <c r="A4" s="373" t="s">
        <v>772</v>
      </c>
      <c r="B4" s="373" t="s">
        <v>901</v>
      </c>
      <c r="C4" s="374" t="s">
        <v>833</v>
      </c>
      <c r="D4" s="375">
        <v>21.7</v>
      </c>
      <c r="E4" s="376">
        <v>9.06</v>
      </c>
      <c r="F4" s="375">
        <v>9.0500000000000007</v>
      </c>
      <c r="G4" s="376" t="s">
        <v>834</v>
      </c>
      <c r="H4" s="376">
        <v>5</v>
      </c>
      <c r="I4" s="376">
        <v>4.3</v>
      </c>
      <c r="J4" s="377">
        <v>1</v>
      </c>
    </row>
    <row r="5" spans="1:10" x14ac:dyDescent="0.25">
      <c r="A5" s="378" t="s">
        <v>835</v>
      </c>
      <c r="B5" s="378" t="s">
        <v>902</v>
      </c>
      <c r="C5" s="379" t="s">
        <v>836</v>
      </c>
      <c r="D5" s="380">
        <v>19.899999999999999</v>
      </c>
      <c r="E5" s="381">
        <v>9.33</v>
      </c>
      <c r="F5" s="382">
        <v>9.34</v>
      </c>
      <c r="G5" s="381" t="s">
        <v>837</v>
      </c>
      <c r="H5" s="381">
        <v>5</v>
      </c>
      <c r="I5" s="381">
        <v>5.6</v>
      </c>
      <c r="J5" s="380">
        <v>1</v>
      </c>
    </row>
    <row r="6" spans="1:10" x14ac:dyDescent="0.25">
      <c r="A6" s="373" t="s">
        <v>830</v>
      </c>
      <c r="B6" s="373" t="s">
        <v>903</v>
      </c>
      <c r="C6" s="374" t="s">
        <v>831</v>
      </c>
      <c r="D6" s="375">
        <v>5.5</v>
      </c>
      <c r="E6" s="376">
        <v>9.16</v>
      </c>
      <c r="F6" s="375">
        <v>9.18</v>
      </c>
      <c r="G6" s="376" t="s">
        <v>838</v>
      </c>
      <c r="H6" s="376">
        <v>15</v>
      </c>
      <c r="I6" s="376">
        <v>13.142629645770093</v>
      </c>
      <c r="J6" s="375">
        <v>3</v>
      </c>
    </row>
    <row r="7" spans="1:10" x14ac:dyDescent="0.25">
      <c r="A7" s="373" t="s">
        <v>772</v>
      </c>
      <c r="B7" s="373" t="s">
        <v>904</v>
      </c>
      <c r="C7" s="374" t="s">
        <v>833</v>
      </c>
      <c r="D7" s="375">
        <v>4.5999999999999996</v>
      </c>
      <c r="E7" s="376">
        <v>9.27</v>
      </c>
      <c r="F7" s="383">
        <v>9.26</v>
      </c>
      <c r="G7" s="376" t="s">
        <v>839</v>
      </c>
      <c r="H7" s="376">
        <v>10</v>
      </c>
      <c r="I7" s="376">
        <v>12.181655908240783</v>
      </c>
      <c r="J7" s="375">
        <v>2</v>
      </c>
    </row>
    <row r="8" spans="1:10" x14ac:dyDescent="0.25">
      <c r="A8" s="384" t="s">
        <v>840</v>
      </c>
      <c r="B8" s="420" t="s">
        <v>905</v>
      </c>
      <c r="C8" s="379" t="s">
        <v>836</v>
      </c>
      <c r="D8" s="380">
        <v>5.2</v>
      </c>
      <c r="E8" s="381">
        <v>9.35</v>
      </c>
      <c r="F8" s="382">
        <v>9.64</v>
      </c>
      <c r="G8" s="381" t="s">
        <v>839</v>
      </c>
      <c r="H8" s="381">
        <v>15</v>
      </c>
      <c r="I8" s="385">
        <v>12.4</v>
      </c>
      <c r="J8" s="380">
        <v>3</v>
      </c>
    </row>
  </sheetData>
  <pageMargins left="0.7" right="0.7" top="0.75" bottom="0.75" header="0.3" footer="0.3"/>
  <pageSetup scale="74" orientation="portrait" verticalDpi="597"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rgb="FF6600FF"/>
    <pageSetUpPr fitToPage="1"/>
  </sheetPr>
  <dimension ref="A6:T52"/>
  <sheetViews>
    <sheetView zoomScale="87" zoomScaleNormal="87" workbookViewId="0"/>
  </sheetViews>
  <sheetFormatPr defaultRowHeight="15" x14ac:dyDescent="0.25"/>
  <cols>
    <col min="2" max="2" width="10" customWidth="1"/>
    <col min="9" max="9" width="10.28515625" bestFit="1" customWidth="1"/>
    <col min="11" max="11" width="8.42578125" bestFit="1" customWidth="1"/>
  </cols>
  <sheetData>
    <row r="6" spans="1:15" x14ac:dyDescent="0.25">
      <c r="A6" s="7" t="s">
        <v>12</v>
      </c>
      <c r="B6" s="28"/>
      <c r="C6" s="28"/>
      <c r="D6" s="28"/>
      <c r="E6" s="28"/>
      <c r="F6" s="28"/>
      <c r="G6" s="28"/>
      <c r="H6" s="28"/>
      <c r="I6" s="222"/>
      <c r="J6" s="28"/>
      <c r="K6" s="28"/>
      <c r="L6" s="28"/>
      <c r="M6" s="28"/>
      <c r="N6" s="28"/>
      <c r="O6" s="28"/>
    </row>
    <row r="7" spans="1:15" x14ac:dyDescent="0.25">
      <c r="A7" s="30" t="s">
        <v>13</v>
      </c>
      <c r="B7" s="30">
        <v>42137</v>
      </c>
    </row>
    <row r="8" spans="1:15" x14ac:dyDescent="0.25">
      <c r="A8" s="28" t="s">
        <v>14</v>
      </c>
      <c r="B8" s="28">
        <v>21</v>
      </c>
      <c r="C8" s="28" t="s">
        <v>674</v>
      </c>
      <c r="D8" s="28"/>
      <c r="E8" s="28"/>
      <c r="F8" s="28"/>
      <c r="G8" s="28"/>
      <c r="H8" s="28"/>
      <c r="I8" s="222"/>
      <c r="J8" s="28"/>
      <c r="K8" s="28" t="s">
        <v>34</v>
      </c>
      <c r="L8" s="28" t="s">
        <v>34</v>
      </c>
      <c r="M8" s="28"/>
      <c r="N8" s="28"/>
      <c r="O8" s="28"/>
    </row>
    <row r="9" spans="1:15" x14ac:dyDescent="0.25">
      <c r="A9" s="28" t="s">
        <v>15</v>
      </c>
      <c r="B9" s="28">
        <v>10</v>
      </c>
      <c r="C9" s="28" t="s">
        <v>240</v>
      </c>
      <c r="D9" s="28"/>
      <c r="E9" s="28"/>
      <c r="F9" s="28"/>
      <c r="G9" s="28"/>
      <c r="H9" s="28"/>
      <c r="I9" s="222"/>
      <c r="J9" s="28"/>
      <c r="K9" s="28"/>
      <c r="L9" s="28"/>
      <c r="M9" s="28"/>
      <c r="N9" s="28"/>
      <c r="O9" s="28"/>
    </row>
    <row r="10" spans="1:15" x14ac:dyDescent="0.25">
      <c r="A10" s="28" t="s">
        <v>16</v>
      </c>
      <c r="B10" s="31">
        <v>2000</v>
      </c>
      <c r="C10" s="28" t="s">
        <v>695</v>
      </c>
      <c r="D10" s="28"/>
      <c r="E10" s="28"/>
      <c r="F10" s="28"/>
      <c r="G10" s="28"/>
      <c r="H10" s="28"/>
      <c r="I10" s="222" t="s">
        <v>34</v>
      </c>
      <c r="J10" s="28" t="s">
        <v>34</v>
      </c>
      <c r="K10" s="28" t="s">
        <v>34</v>
      </c>
      <c r="L10" s="28" t="s">
        <v>34</v>
      </c>
      <c r="M10" s="28" t="s">
        <v>34</v>
      </c>
      <c r="N10" s="28" t="s">
        <v>34</v>
      </c>
      <c r="O10" s="28"/>
    </row>
    <row r="11" spans="1:15" x14ac:dyDescent="0.25">
      <c r="A11" s="28"/>
      <c r="B11" s="31" t="s">
        <v>672</v>
      </c>
      <c r="C11" s="28"/>
      <c r="D11" s="28"/>
      <c r="E11" s="28"/>
      <c r="F11" s="28"/>
      <c r="G11" s="28"/>
      <c r="H11" s="28"/>
      <c r="I11" s="222"/>
      <c r="J11" s="28"/>
      <c r="K11" s="28" t="s">
        <v>34</v>
      </c>
      <c r="L11" s="28"/>
      <c r="M11" s="28"/>
      <c r="N11" s="28"/>
      <c r="O11" s="28"/>
    </row>
    <row r="12" spans="1:15" x14ac:dyDescent="0.25">
      <c r="A12" s="28"/>
      <c r="B12" s="31">
        <v>65</v>
      </c>
      <c r="C12" s="28" t="s">
        <v>694</v>
      </c>
      <c r="D12" s="28"/>
      <c r="E12" s="28"/>
      <c r="F12" s="28"/>
      <c r="G12" s="28"/>
      <c r="H12" s="28"/>
      <c r="I12" s="222"/>
      <c r="J12" s="28"/>
      <c r="K12" s="28"/>
      <c r="L12" s="28"/>
      <c r="M12" s="28"/>
      <c r="N12" s="28"/>
      <c r="O12" s="28"/>
    </row>
    <row r="13" spans="1:15" x14ac:dyDescent="0.25">
      <c r="A13" s="28"/>
      <c r="B13" s="31">
        <v>8.25</v>
      </c>
      <c r="C13" s="28" t="s">
        <v>697</v>
      </c>
      <c r="D13" s="28"/>
      <c r="E13" s="28"/>
      <c r="F13" s="28"/>
      <c r="G13" s="28"/>
      <c r="H13" s="28"/>
      <c r="I13" s="231"/>
      <c r="J13" s="28"/>
      <c r="K13" s="28"/>
      <c r="L13" s="28"/>
      <c r="M13" s="28"/>
      <c r="N13" s="28"/>
      <c r="O13" s="28"/>
    </row>
    <row r="14" spans="1:15" x14ac:dyDescent="0.25">
      <c r="A14" s="28"/>
      <c r="B14" s="31">
        <v>200</v>
      </c>
      <c r="C14" s="87" t="s">
        <v>696</v>
      </c>
      <c r="D14" s="28"/>
      <c r="E14" s="28"/>
      <c r="F14" s="28"/>
      <c r="G14" s="28"/>
      <c r="H14" s="28"/>
      <c r="I14" s="231"/>
      <c r="J14" s="28"/>
      <c r="K14" s="28"/>
      <c r="L14" s="28"/>
      <c r="M14" s="28"/>
      <c r="N14" s="28"/>
      <c r="O14" s="28"/>
    </row>
    <row r="15" spans="1:15" x14ac:dyDescent="0.25">
      <c r="A15" s="28"/>
      <c r="B15" s="31">
        <v>30</v>
      </c>
      <c r="C15" s="87" t="s">
        <v>698</v>
      </c>
      <c r="D15" s="28"/>
      <c r="E15" s="28"/>
      <c r="F15" s="28"/>
      <c r="G15" s="28"/>
      <c r="H15" s="28"/>
      <c r="I15" s="231"/>
      <c r="J15" s="28"/>
      <c r="K15" s="28"/>
      <c r="L15" s="28"/>
      <c r="M15" s="28"/>
      <c r="N15" s="28"/>
      <c r="O15" s="28"/>
    </row>
    <row r="16" spans="1:15" x14ac:dyDescent="0.25">
      <c r="A16" s="28"/>
      <c r="B16" s="232">
        <f>(B12*B13/100*1000)/(B10+B12-B14+B15)*1000</f>
        <v>2829.8153034300794</v>
      </c>
      <c r="C16" s="28" t="s">
        <v>700</v>
      </c>
      <c r="D16" s="28"/>
      <c r="E16" s="28"/>
      <c r="F16" s="28"/>
      <c r="G16" s="28"/>
      <c r="H16" s="28"/>
      <c r="I16" s="231"/>
      <c r="J16" s="28"/>
      <c r="K16" s="28"/>
      <c r="L16" s="28"/>
      <c r="M16" s="28"/>
      <c r="N16" s="28"/>
      <c r="O16" s="28"/>
    </row>
    <row r="17" spans="1:20" ht="16.5" thickBot="1" x14ac:dyDescent="0.35">
      <c r="A17" s="28"/>
      <c r="B17" s="28" t="s">
        <v>671</v>
      </c>
      <c r="C17" s="28"/>
      <c r="D17" s="28"/>
      <c r="E17" s="28"/>
      <c r="F17" s="28"/>
      <c r="G17" s="28"/>
      <c r="H17" s="28"/>
      <c r="I17" s="222"/>
      <c r="J17" s="28"/>
      <c r="K17" s="28"/>
      <c r="L17" s="28"/>
      <c r="M17" s="28"/>
      <c r="N17" s="28"/>
      <c r="O17" s="28"/>
    </row>
    <row r="18" spans="1:20" ht="90"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20" ht="15.75" thickBot="1" x14ac:dyDescent="0.3">
      <c r="A19" s="32">
        <v>0</v>
      </c>
      <c r="B19" s="51">
        <v>4.4000000000000004</v>
      </c>
      <c r="C19" s="182">
        <v>9.06</v>
      </c>
      <c r="D19" s="23">
        <v>8.44</v>
      </c>
      <c r="E19" s="23">
        <v>0</v>
      </c>
      <c r="F19" s="23">
        <v>0</v>
      </c>
      <c r="G19" s="23">
        <v>720</v>
      </c>
      <c r="H19" s="23">
        <v>950</v>
      </c>
      <c r="I19" s="33">
        <v>26000000</v>
      </c>
      <c r="J19" s="125">
        <f>LOG(I$19)-LOG(I19)</f>
        <v>0</v>
      </c>
      <c r="K19" s="33" t="s">
        <v>35</v>
      </c>
      <c r="L19" s="23" t="s">
        <v>26</v>
      </c>
      <c r="M19" s="23" t="s">
        <v>26</v>
      </c>
      <c r="N19" s="23" t="s">
        <v>26</v>
      </c>
      <c r="O19" s="23" t="s">
        <v>26</v>
      </c>
      <c r="P19" s="233">
        <f>B$16*A19</f>
        <v>0</v>
      </c>
      <c r="Q19" s="233">
        <f>6/LINEST(J19:J21,P19:P21,FALSE)</f>
        <v>28708.633757059353</v>
      </c>
      <c r="R19" s="233">
        <f>Q19/3000</f>
        <v>9.5695445856864509</v>
      </c>
      <c r="S19" s="233">
        <f>(J28/LINEST($J19:$J21,$P19:$P21,FALSE))/$B$16</f>
        <v>12.512235312361874</v>
      </c>
    </row>
    <row r="20" spans="1:20" ht="15.75" thickBot="1" x14ac:dyDescent="0.3">
      <c r="A20" s="32">
        <v>5</v>
      </c>
      <c r="B20" s="125">
        <v>4.5999999999999996</v>
      </c>
      <c r="C20" s="50">
        <v>8.06</v>
      </c>
      <c r="D20" s="24">
        <v>10.09</v>
      </c>
      <c r="E20" s="24">
        <v>3000</v>
      </c>
      <c r="F20" s="24">
        <v>1.42</v>
      </c>
      <c r="G20" s="24">
        <v>263</v>
      </c>
      <c r="H20" s="23" t="s">
        <v>26</v>
      </c>
      <c r="I20" s="33">
        <v>4500</v>
      </c>
      <c r="J20" s="125">
        <f>LOG(I$19)-LOG(I20)</f>
        <v>3.7617608341954747</v>
      </c>
      <c r="K20" s="33" t="s">
        <v>35</v>
      </c>
      <c r="L20" s="23" t="s">
        <v>26</v>
      </c>
      <c r="M20" s="23" t="s">
        <v>26</v>
      </c>
      <c r="N20" s="23" t="s">
        <v>26</v>
      </c>
      <c r="O20" s="23" t="s">
        <v>26</v>
      </c>
      <c r="P20" s="233">
        <f>B$16*A20</f>
        <v>14149.076517150397</v>
      </c>
      <c r="Q20" s="228"/>
    </row>
    <row r="21" spans="1:20" ht="15.75" thickBot="1" x14ac:dyDescent="0.3">
      <c r="A21" s="32">
        <v>10</v>
      </c>
      <c r="B21" s="125">
        <v>4.2</v>
      </c>
      <c r="C21" s="24">
        <v>8.06</v>
      </c>
      <c r="D21" s="50">
        <v>10.19</v>
      </c>
      <c r="E21" s="24">
        <v>6000</v>
      </c>
      <c r="F21" s="50">
        <v>1.46</v>
      </c>
      <c r="G21" s="24">
        <v>287</v>
      </c>
      <c r="H21" s="23" t="s">
        <v>26</v>
      </c>
      <c r="I21" s="33">
        <v>80</v>
      </c>
      <c r="J21" s="125">
        <f>LOG(I$19)-LOG(I21)</f>
        <v>5.5118833609788744</v>
      </c>
      <c r="K21" s="33" t="s">
        <v>35</v>
      </c>
      <c r="L21" s="23" t="s">
        <v>26</v>
      </c>
      <c r="M21" s="23" t="s">
        <v>26</v>
      </c>
      <c r="N21" s="23" t="s">
        <v>26</v>
      </c>
      <c r="O21" s="23" t="s">
        <v>26</v>
      </c>
      <c r="P21" s="233">
        <f>B$16*A21</f>
        <v>28298.153034300794</v>
      </c>
      <c r="Q21" s="228"/>
    </row>
    <row r="22" spans="1:20" ht="15.75" thickBot="1" x14ac:dyDescent="0.3">
      <c r="A22" s="32">
        <v>20</v>
      </c>
      <c r="B22" s="125">
        <v>3.7</v>
      </c>
      <c r="C22" s="24">
        <v>8.06</v>
      </c>
      <c r="D22" s="24">
        <v>10.210000000000001</v>
      </c>
      <c r="E22" s="24">
        <v>6000</v>
      </c>
      <c r="F22" s="24">
        <v>1.54</v>
      </c>
      <c r="G22" s="24">
        <v>353</v>
      </c>
      <c r="H22" s="23" t="s">
        <v>26</v>
      </c>
      <c r="I22" s="33">
        <v>0</v>
      </c>
      <c r="J22" s="24" t="s">
        <v>499</v>
      </c>
      <c r="K22" s="33" t="s">
        <v>35</v>
      </c>
      <c r="L22" s="23" t="s">
        <v>26</v>
      </c>
      <c r="M22" s="23" t="s">
        <v>26</v>
      </c>
      <c r="N22" s="23" t="s">
        <v>26</v>
      </c>
      <c r="O22" s="23" t="s">
        <v>26</v>
      </c>
      <c r="P22" s="233"/>
      <c r="Q22" s="228"/>
    </row>
    <row r="23" spans="1:20" ht="15.75" thickBot="1" x14ac:dyDescent="0.3">
      <c r="A23" s="32">
        <v>30</v>
      </c>
      <c r="B23" s="125">
        <v>3.5</v>
      </c>
      <c r="C23" s="24">
        <v>8.06</v>
      </c>
      <c r="D23" s="24">
        <v>10.32</v>
      </c>
      <c r="E23" s="24">
        <v>7000</v>
      </c>
      <c r="F23" s="24">
        <v>1.97</v>
      </c>
      <c r="G23" s="24">
        <v>337</v>
      </c>
      <c r="H23" s="23" t="s">
        <v>26</v>
      </c>
      <c r="I23" s="33">
        <v>0</v>
      </c>
      <c r="J23" s="24" t="s">
        <v>499</v>
      </c>
      <c r="K23" s="33" t="s">
        <v>35</v>
      </c>
      <c r="L23" s="23" t="s">
        <v>26</v>
      </c>
      <c r="M23" s="23" t="s">
        <v>26</v>
      </c>
      <c r="N23" s="23" t="s">
        <v>26</v>
      </c>
      <c r="O23" s="23" t="s">
        <v>26</v>
      </c>
      <c r="P23" s="233"/>
      <c r="Q23" s="228"/>
    </row>
    <row r="24" spans="1:20" ht="15.75" thickBot="1" x14ac:dyDescent="0.3">
      <c r="A24" s="32">
        <v>60</v>
      </c>
      <c r="B24" s="125">
        <v>3.8</v>
      </c>
      <c r="C24" s="24">
        <v>8.07</v>
      </c>
      <c r="D24" s="50">
        <v>10.42</v>
      </c>
      <c r="E24" s="24">
        <v>8000</v>
      </c>
      <c r="F24" s="58">
        <v>1.49</v>
      </c>
      <c r="G24" s="24">
        <v>363</v>
      </c>
      <c r="H24" s="23" t="s">
        <v>26</v>
      </c>
      <c r="I24" s="33">
        <v>0</v>
      </c>
      <c r="J24" s="24" t="s">
        <v>499</v>
      </c>
      <c r="K24" s="33" t="s">
        <v>35</v>
      </c>
      <c r="L24" s="23" t="s">
        <v>26</v>
      </c>
      <c r="M24" s="23" t="s">
        <v>26</v>
      </c>
      <c r="N24" s="23" t="s">
        <v>26</v>
      </c>
      <c r="O24" s="23" t="s">
        <v>26</v>
      </c>
      <c r="P24" s="233"/>
      <c r="Q24" s="228"/>
    </row>
    <row r="25" spans="1:20" ht="15.75" thickBot="1" x14ac:dyDescent="0.3">
      <c r="A25" s="32">
        <v>120</v>
      </c>
      <c r="B25" s="125">
        <v>4.2</v>
      </c>
      <c r="C25" s="50">
        <v>8.07</v>
      </c>
      <c r="D25" s="24">
        <v>10.73</v>
      </c>
      <c r="E25" s="24">
        <v>3000</v>
      </c>
      <c r="F25" s="100">
        <v>1.38</v>
      </c>
      <c r="G25" s="24">
        <v>543</v>
      </c>
      <c r="H25" s="23" t="s">
        <v>26</v>
      </c>
      <c r="I25" s="33">
        <v>0</v>
      </c>
      <c r="J25" s="24" t="s">
        <v>499</v>
      </c>
      <c r="K25" s="33" t="s">
        <v>35</v>
      </c>
      <c r="L25" s="23" t="s">
        <v>26</v>
      </c>
      <c r="M25" s="23" t="s">
        <v>26</v>
      </c>
      <c r="N25" s="23" t="s">
        <v>26</v>
      </c>
      <c r="O25" s="23" t="s">
        <v>26</v>
      </c>
      <c r="P25" s="233"/>
      <c r="Q25" s="228"/>
    </row>
    <row r="26" spans="1:20" ht="15.75" thickBot="1" x14ac:dyDescent="0.3">
      <c r="A26" s="32">
        <v>180</v>
      </c>
      <c r="B26" s="125">
        <v>4.8</v>
      </c>
      <c r="C26" s="50">
        <v>8.0500000000000007</v>
      </c>
      <c r="D26" s="50">
        <v>11.15</v>
      </c>
      <c r="E26" s="24">
        <v>8000</v>
      </c>
      <c r="F26" s="100">
        <v>1.35</v>
      </c>
      <c r="G26" s="24">
        <v>626</v>
      </c>
      <c r="H26" s="23" t="s">
        <v>26</v>
      </c>
      <c r="I26" s="33">
        <v>0</v>
      </c>
      <c r="J26" s="24" t="s">
        <v>499</v>
      </c>
      <c r="K26" s="33" t="s">
        <v>35</v>
      </c>
      <c r="L26" s="23" t="s">
        <v>26</v>
      </c>
      <c r="M26" s="23" t="s">
        <v>26</v>
      </c>
      <c r="N26" s="23" t="s">
        <v>26</v>
      </c>
      <c r="O26" s="23" t="s">
        <v>26</v>
      </c>
      <c r="P26" s="233"/>
      <c r="Q26" s="228"/>
    </row>
    <row r="27" spans="1:20" ht="15.75" thickBot="1" x14ac:dyDescent="0.3">
      <c r="A27" s="32">
        <v>240</v>
      </c>
      <c r="B27" s="125">
        <v>5.2</v>
      </c>
      <c r="C27" s="24">
        <v>8.0299999999999994</v>
      </c>
      <c r="D27" s="50">
        <v>11.64</v>
      </c>
      <c r="E27" s="24">
        <v>7000</v>
      </c>
      <c r="F27" s="100">
        <v>1.1200000000000001</v>
      </c>
      <c r="G27" s="24">
        <v>559</v>
      </c>
      <c r="H27" s="24">
        <v>975</v>
      </c>
      <c r="I27" s="33">
        <v>0</v>
      </c>
      <c r="J27" s="24" t="s">
        <v>499</v>
      </c>
      <c r="K27" s="33" t="s">
        <v>35</v>
      </c>
      <c r="L27" s="23" t="s">
        <v>26</v>
      </c>
      <c r="M27" s="36">
        <v>91</v>
      </c>
      <c r="N27" s="36">
        <v>6650</v>
      </c>
      <c r="O27" s="27">
        <v>1425</v>
      </c>
      <c r="P27" s="220"/>
    </row>
    <row r="28" spans="1:20" x14ac:dyDescent="0.25">
      <c r="B28" s="108">
        <f>AVERAGE(B20:B21)</f>
        <v>4.4000000000000004</v>
      </c>
      <c r="C28" s="108">
        <f>AVERAGE(C20:C21)</f>
        <v>8.06</v>
      </c>
      <c r="E28" s="155">
        <f>AVERAGE(E20:E27)</f>
        <v>6000</v>
      </c>
      <c r="F28" s="155">
        <f>_xlfn.STDEV.P(E20:E27)</f>
        <v>1870.8286933869706</v>
      </c>
      <c r="J28">
        <v>7.4</v>
      </c>
      <c r="N28" s="28"/>
      <c r="O28" s="28"/>
    </row>
    <row r="29" spans="1:20" x14ac:dyDescent="0.25">
      <c r="A29" s="28" t="s">
        <v>140</v>
      </c>
      <c r="B29" s="28"/>
      <c r="C29" s="28"/>
      <c r="D29" s="28"/>
      <c r="E29" s="28"/>
      <c r="F29" s="28"/>
      <c r="G29" s="28"/>
      <c r="H29" s="28"/>
      <c r="I29" s="222"/>
      <c r="J29" s="28"/>
      <c r="K29" s="28"/>
      <c r="L29" s="28"/>
      <c r="M29" s="28"/>
      <c r="N29" s="28"/>
      <c r="O29" s="28"/>
    </row>
    <row r="30" spans="1:20" x14ac:dyDescent="0.25">
      <c r="A30" s="28"/>
      <c r="B30" s="28" t="s">
        <v>141</v>
      </c>
      <c r="C30" s="28"/>
      <c r="D30" s="28"/>
      <c r="E30" s="28"/>
      <c r="F30" s="28"/>
      <c r="G30" s="28"/>
      <c r="H30" s="28"/>
      <c r="I30" s="222"/>
      <c r="J30" s="28"/>
      <c r="K30" s="28"/>
      <c r="L30" s="28"/>
      <c r="M30" s="28"/>
      <c r="N30" s="28" t="s">
        <v>34</v>
      </c>
      <c r="O30" s="28"/>
    </row>
    <row r="31" spans="1:20" ht="15.75" x14ac:dyDescent="0.25">
      <c r="A31" s="28" t="s">
        <v>264</v>
      </c>
      <c r="B31" s="28"/>
      <c r="C31" s="28"/>
      <c r="D31" s="28"/>
      <c r="E31" s="28"/>
      <c r="F31" s="28"/>
      <c r="G31" s="28"/>
      <c r="H31" s="28"/>
      <c r="I31" s="222"/>
      <c r="J31" s="28" t="s">
        <v>34</v>
      </c>
      <c r="K31" s="28"/>
      <c r="L31" s="28" t="s">
        <v>34</v>
      </c>
      <c r="M31" s="28"/>
      <c r="N31" s="28"/>
      <c r="O31" s="28"/>
      <c r="R31" s="225"/>
      <c r="T31" s="226"/>
    </row>
    <row r="32" spans="1:20" ht="16.5" x14ac:dyDescent="0.3">
      <c r="A32" s="59"/>
      <c r="F32" s="28"/>
      <c r="G32" s="28"/>
      <c r="H32" s="28"/>
      <c r="I32" s="222"/>
      <c r="J32" s="28"/>
      <c r="K32" s="28"/>
      <c r="L32" s="28" t="s">
        <v>34</v>
      </c>
      <c r="M32" s="28" t="s">
        <v>34</v>
      </c>
      <c r="N32" s="28"/>
      <c r="O32" s="28"/>
      <c r="R32" s="224"/>
      <c r="T32" s="227"/>
    </row>
    <row r="33" spans="1:15" x14ac:dyDescent="0.25">
      <c r="A33" s="19" t="s">
        <v>28</v>
      </c>
      <c r="B33" s="28"/>
      <c r="C33" s="28"/>
      <c r="D33" s="28"/>
      <c r="E33" s="28"/>
      <c r="F33" s="28"/>
      <c r="G33" s="28"/>
      <c r="H33" s="28"/>
      <c r="I33" s="222"/>
      <c r="J33" s="28"/>
      <c r="K33" s="28" t="s">
        <v>34</v>
      </c>
      <c r="L33" s="28"/>
      <c r="M33" s="28" t="s">
        <v>34</v>
      </c>
      <c r="N33" s="28"/>
      <c r="O33" s="28"/>
    </row>
    <row r="34" spans="1:15" x14ac:dyDescent="0.25">
      <c r="A34" s="28"/>
      <c r="B34" s="22" t="s">
        <v>679</v>
      </c>
      <c r="C34" s="28"/>
      <c r="D34" s="28"/>
      <c r="E34" s="28">
        <f>5.3625/(E35)</f>
        <v>2.8298153034300791E-3</v>
      </c>
      <c r="F34" s="28">
        <f>E34*1000*1000</f>
        <v>2829.8153034300794</v>
      </c>
      <c r="G34" s="28"/>
      <c r="H34" s="28"/>
      <c r="I34" s="222"/>
      <c r="J34" s="28"/>
      <c r="K34" s="28"/>
      <c r="L34" s="28"/>
      <c r="M34" s="28" t="s">
        <v>34</v>
      </c>
      <c r="N34" s="28"/>
      <c r="O34" s="28"/>
    </row>
    <row r="35" spans="1:15" x14ac:dyDescent="0.25">
      <c r="A35" s="28"/>
      <c r="B35" s="189"/>
      <c r="C35" s="189"/>
      <c r="D35" s="189"/>
      <c r="E35" s="28">
        <f>(2000+65-200+30)</f>
        <v>1895</v>
      </c>
      <c r="F35" s="189"/>
      <c r="G35" s="189"/>
      <c r="H35" s="189"/>
      <c r="I35" s="189"/>
      <c r="J35" s="189"/>
      <c r="K35" s="189"/>
      <c r="L35" s="189" t="s">
        <v>34</v>
      </c>
      <c r="M35" s="28"/>
      <c r="N35" s="28"/>
      <c r="O35" s="28"/>
    </row>
    <row r="36" spans="1:15" x14ac:dyDescent="0.25">
      <c r="A36" s="28"/>
      <c r="B36" s="189"/>
      <c r="C36" s="189"/>
      <c r="D36" s="189"/>
      <c r="E36" s="189"/>
      <c r="F36" s="189"/>
      <c r="G36" s="189"/>
      <c r="H36" s="189"/>
      <c r="I36" s="189"/>
      <c r="J36" s="189"/>
      <c r="K36" s="189"/>
      <c r="L36" s="189"/>
      <c r="M36" s="28"/>
      <c r="N36" s="28"/>
      <c r="O36" s="28"/>
    </row>
    <row r="37" spans="1:15" x14ac:dyDescent="0.25">
      <c r="A37" s="28"/>
      <c r="B37" s="22"/>
      <c r="C37" s="28"/>
      <c r="D37" s="28"/>
      <c r="E37" s="28"/>
      <c r="F37" s="28"/>
      <c r="G37" s="28"/>
      <c r="H37" s="28"/>
      <c r="I37" s="222"/>
      <c r="J37" s="28"/>
      <c r="K37" s="28"/>
      <c r="L37" s="28"/>
      <c r="M37" s="28" t="s">
        <v>34</v>
      </c>
      <c r="N37" s="28"/>
      <c r="O37" s="28"/>
    </row>
    <row r="38" spans="1:15" x14ac:dyDescent="0.25">
      <c r="A38" s="28"/>
      <c r="B38" s="189"/>
      <c r="C38" s="189"/>
      <c r="D38" s="189"/>
      <c r="E38" s="189"/>
      <c r="F38" s="189"/>
      <c r="G38" s="189"/>
      <c r="H38" s="189"/>
      <c r="I38" s="189"/>
      <c r="J38" s="189"/>
      <c r="K38" s="189"/>
      <c r="M38" s="28"/>
      <c r="N38" s="28"/>
      <c r="O38" s="28"/>
    </row>
    <row r="39" spans="1:15" x14ac:dyDescent="0.25">
      <c r="A39" s="28"/>
      <c r="B39" s="189"/>
      <c r="C39" s="189"/>
      <c r="D39" s="189"/>
      <c r="E39" s="189"/>
      <c r="F39" s="189"/>
      <c r="G39" s="189"/>
      <c r="H39" s="189"/>
      <c r="I39" s="189"/>
      <c r="J39" s="189"/>
      <c r="K39" s="189"/>
      <c r="M39" s="28"/>
      <c r="N39" s="28"/>
      <c r="O39" s="28"/>
    </row>
    <row r="40" spans="1:15" x14ac:dyDescent="0.25">
      <c r="A40" s="28"/>
      <c r="B40" s="69"/>
      <c r="C40" s="87"/>
      <c r="D40" s="87"/>
      <c r="E40" s="87"/>
      <c r="F40" s="87"/>
      <c r="G40" s="87"/>
      <c r="H40" s="87"/>
      <c r="I40" s="88"/>
      <c r="J40" s="87"/>
      <c r="K40" s="87"/>
      <c r="L40" s="28"/>
      <c r="M40" s="28"/>
      <c r="N40" s="28"/>
      <c r="O40" s="28"/>
    </row>
    <row r="41" spans="1:15" x14ac:dyDescent="0.25">
      <c r="A41" s="28"/>
      <c r="B41" s="75"/>
      <c r="C41" s="28"/>
      <c r="D41" s="28"/>
      <c r="E41" s="28"/>
      <c r="F41" s="28"/>
      <c r="G41" s="28"/>
      <c r="H41" s="28"/>
      <c r="I41" s="222"/>
      <c r="J41" s="28"/>
      <c r="K41" s="28"/>
      <c r="N41" s="28"/>
      <c r="O41" s="28"/>
    </row>
    <row r="42" spans="1:15" x14ac:dyDescent="0.25">
      <c r="A42" s="28"/>
      <c r="B42" s="22"/>
      <c r="L42" s="28"/>
      <c r="N42" s="28"/>
      <c r="O42" s="28"/>
    </row>
    <row r="43" spans="1:15" x14ac:dyDescent="0.25">
      <c r="A43" s="28"/>
      <c r="B43" s="22"/>
      <c r="L43" s="28"/>
      <c r="N43" s="28"/>
      <c r="O43" s="28" t="s">
        <v>34</v>
      </c>
    </row>
    <row r="44" spans="1:15" x14ac:dyDescent="0.25">
      <c r="A44" s="28"/>
      <c r="B44" s="22"/>
      <c r="L44" s="28"/>
      <c r="M44" s="28"/>
      <c r="N44" s="28"/>
      <c r="O44" s="28"/>
    </row>
    <row r="45" spans="1:15" x14ac:dyDescent="0.25">
      <c r="B45" s="189"/>
      <c r="C45" s="64"/>
      <c r="D45" s="64"/>
      <c r="E45" s="64"/>
      <c r="F45" s="64"/>
      <c r="G45" s="64"/>
      <c r="H45" s="64"/>
      <c r="I45" s="64"/>
      <c r="J45" s="64"/>
      <c r="K45" s="64"/>
      <c r="L45" s="65"/>
      <c r="M45" s="28"/>
      <c r="N45" s="28"/>
      <c r="O45" s="28"/>
    </row>
    <row r="46" spans="1:15" x14ac:dyDescent="0.25">
      <c r="B46" s="189"/>
    </row>
    <row r="47" spans="1:15" x14ac:dyDescent="0.25">
      <c r="B47" s="22"/>
      <c r="C47" s="28"/>
      <c r="D47" s="28"/>
      <c r="E47" s="28"/>
      <c r="F47" s="28"/>
      <c r="G47" s="28"/>
      <c r="H47" s="28"/>
      <c r="I47" s="222"/>
      <c r="J47" s="28"/>
    </row>
    <row r="48" spans="1:15" x14ac:dyDescent="0.25">
      <c r="B48" s="189"/>
      <c r="C48" s="64"/>
      <c r="D48" s="64"/>
      <c r="E48" s="64"/>
      <c r="F48" s="64"/>
      <c r="G48" s="64"/>
      <c r="H48" s="64"/>
      <c r="I48" s="64"/>
      <c r="J48" s="64"/>
      <c r="K48" s="64"/>
      <c r="L48" s="65"/>
      <c r="O48" t="s">
        <v>34</v>
      </c>
    </row>
    <row r="49" spans="2:14" x14ac:dyDescent="0.25">
      <c r="B49" s="189"/>
      <c r="C49" s="189"/>
      <c r="D49" s="189"/>
      <c r="E49" s="189"/>
      <c r="F49" s="189"/>
      <c r="G49" s="189"/>
      <c r="H49" s="189"/>
      <c r="I49" s="189"/>
      <c r="J49" s="189"/>
      <c r="K49" s="189"/>
      <c r="N49" t="s">
        <v>34</v>
      </c>
    </row>
    <row r="50" spans="2:14" x14ac:dyDescent="0.25">
      <c r="B50" s="189"/>
      <c r="C50" s="189"/>
      <c r="D50" s="189"/>
      <c r="E50" s="189"/>
      <c r="F50" s="189"/>
      <c r="G50" s="189"/>
      <c r="H50" s="189"/>
      <c r="I50" s="189"/>
      <c r="J50" s="189"/>
      <c r="K50" s="189"/>
    </row>
    <row r="51" spans="2:14" x14ac:dyDescent="0.25">
      <c r="B51" s="22"/>
      <c r="C51" s="28"/>
      <c r="D51" s="28"/>
      <c r="E51" s="28"/>
      <c r="F51" s="28"/>
      <c r="G51" s="28"/>
      <c r="H51" s="222"/>
      <c r="I51" s="28"/>
      <c r="J51" s="189"/>
      <c r="K51" s="28"/>
    </row>
    <row r="52" spans="2:14" x14ac:dyDescent="0.25">
      <c r="N52" t="s">
        <v>34</v>
      </c>
    </row>
  </sheetData>
  <pageMargins left="0.7" right="0.7" top="0.75" bottom="0.75" header="0.3" footer="0.3"/>
  <pageSetup scale="61" orientation="landscape" verticalDpi="597" r:id="rId1"/>
  <ignoredErrors>
    <ignoredError sqref="B28:C28" formulaRange="1"/>
  </ignoredErrors>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tabColor rgb="FF6600FF"/>
    <pageSetUpPr fitToPage="1"/>
  </sheetPr>
  <dimension ref="A6:S52"/>
  <sheetViews>
    <sheetView zoomScale="90" zoomScaleNormal="90" workbookViewId="0"/>
  </sheetViews>
  <sheetFormatPr defaultRowHeight="15" x14ac:dyDescent="0.25"/>
  <cols>
    <col min="2" max="2" width="10" customWidth="1"/>
    <col min="9" max="9" width="10.28515625" bestFit="1" customWidth="1"/>
    <col min="11" max="11" width="8.42578125" bestFit="1" customWidth="1"/>
    <col min="18" max="18" width="10.140625" customWidth="1"/>
  </cols>
  <sheetData>
    <row r="6" spans="1:15" x14ac:dyDescent="0.25">
      <c r="A6" s="7" t="s">
        <v>12</v>
      </c>
      <c r="B6" s="28"/>
      <c r="C6" s="28"/>
      <c r="D6" s="28"/>
      <c r="E6" s="28"/>
      <c r="F6" s="28"/>
      <c r="G6" s="28"/>
      <c r="H6" s="28"/>
      <c r="I6" s="222"/>
      <c r="J6" s="28"/>
      <c r="K6" s="28"/>
      <c r="L6" s="28"/>
      <c r="M6" s="28"/>
      <c r="N6" s="28"/>
      <c r="O6" s="28"/>
    </row>
    <row r="7" spans="1:15" x14ac:dyDescent="0.25">
      <c r="A7" s="30" t="s">
        <v>13</v>
      </c>
      <c r="B7" s="30">
        <v>42142</v>
      </c>
    </row>
    <row r="8" spans="1:15" x14ac:dyDescent="0.25">
      <c r="A8" s="28" t="s">
        <v>14</v>
      </c>
      <c r="B8" s="28">
        <v>21</v>
      </c>
      <c r="C8" s="28" t="s">
        <v>675</v>
      </c>
      <c r="D8" s="28"/>
      <c r="E8" s="28"/>
      <c r="F8" s="28"/>
      <c r="G8" s="28"/>
      <c r="H8" s="28"/>
      <c r="I8" s="222"/>
      <c r="J8" s="28"/>
      <c r="K8" s="28" t="s">
        <v>34</v>
      </c>
      <c r="L8" s="28" t="s">
        <v>34</v>
      </c>
      <c r="M8" s="28"/>
      <c r="N8" s="28"/>
      <c r="O8" s="28"/>
    </row>
    <row r="9" spans="1:15" x14ac:dyDescent="0.25">
      <c r="A9" s="28" t="s">
        <v>15</v>
      </c>
      <c r="B9" s="28">
        <v>10</v>
      </c>
      <c r="C9" s="28" t="s">
        <v>240</v>
      </c>
      <c r="D9" s="28"/>
      <c r="E9" s="28"/>
      <c r="F9" s="28"/>
      <c r="G9" s="28"/>
      <c r="H9" s="28"/>
      <c r="I9" s="222"/>
      <c r="J9" s="28"/>
      <c r="K9" s="28"/>
      <c r="L9" s="28">
        <f>1299/6250</f>
        <v>0.20784</v>
      </c>
      <c r="M9" s="28"/>
      <c r="N9" s="28"/>
      <c r="O9" s="28"/>
    </row>
    <row r="10" spans="1:15" x14ac:dyDescent="0.25">
      <c r="A10" s="28" t="s">
        <v>16</v>
      </c>
      <c r="B10" s="31">
        <v>1900</v>
      </c>
      <c r="C10" s="28" t="s">
        <v>695</v>
      </c>
      <c r="D10" s="28"/>
      <c r="E10" s="28"/>
      <c r="F10" s="28"/>
      <c r="H10" s="28"/>
      <c r="I10" s="222" t="s">
        <v>34</v>
      </c>
      <c r="J10" s="28" t="s">
        <v>34</v>
      </c>
      <c r="K10" s="28" t="s">
        <v>34</v>
      </c>
      <c r="L10" s="28" t="s">
        <v>34</v>
      </c>
      <c r="M10" s="28" t="s">
        <v>34</v>
      </c>
      <c r="N10" s="28" t="s">
        <v>34</v>
      </c>
      <c r="O10" s="28"/>
    </row>
    <row r="11" spans="1:15" x14ac:dyDescent="0.25">
      <c r="A11" s="28"/>
      <c r="B11" s="31" t="s">
        <v>672</v>
      </c>
      <c r="C11" s="28"/>
      <c r="D11" s="28"/>
      <c r="E11" s="28"/>
      <c r="F11" s="28"/>
      <c r="G11" s="28"/>
      <c r="H11" s="28"/>
      <c r="I11" s="222"/>
      <c r="J11" s="28"/>
      <c r="K11" s="28" t="s">
        <v>34</v>
      </c>
      <c r="L11" s="28"/>
      <c r="M11" s="28"/>
      <c r="N11" s="28"/>
      <c r="O11" s="28"/>
    </row>
    <row r="12" spans="1:15" x14ac:dyDescent="0.25">
      <c r="A12" s="28"/>
      <c r="B12" s="31">
        <v>65</v>
      </c>
      <c r="C12" s="28" t="s">
        <v>694</v>
      </c>
      <c r="D12" s="28"/>
      <c r="E12" s="28"/>
      <c r="F12" s="28"/>
      <c r="G12" s="28"/>
      <c r="H12" s="28"/>
      <c r="I12" s="222"/>
      <c r="J12" s="28"/>
      <c r="K12" s="28"/>
      <c r="L12" s="28"/>
      <c r="M12" s="28"/>
      <c r="N12" s="28"/>
      <c r="O12" s="28"/>
    </row>
    <row r="13" spans="1:15" x14ac:dyDescent="0.25">
      <c r="A13" s="28"/>
      <c r="B13" s="31">
        <v>8.25</v>
      </c>
      <c r="C13" s="28" t="s">
        <v>697</v>
      </c>
      <c r="D13" s="28"/>
      <c r="E13" s="28"/>
      <c r="F13" s="28"/>
      <c r="G13" s="28"/>
      <c r="H13" s="28"/>
      <c r="I13" s="231"/>
      <c r="J13" s="28"/>
      <c r="K13" s="28"/>
      <c r="L13" s="28"/>
      <c r="M13" s="28"/>
      <c r="N13" s="28"/>
      <c r="O13" s="28"/>
    </row>
    <row r="14" spans="1:15" x14ac:dyDescent="0.25">
      <c r="A14" s="28"/>
      <c r="B14" s="31">
        <v>200</v>
      </c>
      <c r="C14" s="87" t="s">
        <v>696</v>
      </c>
      <c r="D14" s="28"/>
      <c r="E14" s="28"/>
      <c r="F14" s="28"/>
      <c r="G14" s="28"/>
      <c r="H14" s="28"/>
      <c r="I14" s="231"/>
      <c r="J14" s="28"/>
      <c r="K14" s="28"/>
      <c r="L14" s="28"/>
      <c r="M14" s="28"/>
      <c r="N14" s="28"/>
      <c r="O14" s="28"/>
    </row>
    <row r="15" spans="1:15" x14ac:dyDescent="0.25">
      <c r="A15" s="28"/>
      <c r="B15" s="31">
        <v>130</v>
      </c>
      <c r="C15" s="87" t="s">
        <v>698</v>
      </c>
      <c r="D15" s="28"/>
      <c r="E15" s="28"/>
      <c r="F15" s="28"/>
      <c r="G15" s="28"/>
      <c r="H15" s="28"/>
      <c r="I15" s="231"/>
      <c r="J15" s="28"/>
      <c r="K15" s="28"/>
      <c r="L15" s="28"/>
      <c r="M15" s="28"/>
      <c r="N15" s="28"/>
      <c r="O15" s="28"/>
    </row>
    <row r="16" spans="1:15" x14ac:dyDescent="0.25">
      <c r="A16" s="28"/>
      <c r="B16" s="232">
        <f>(B12*B13/100*1000)/(B10+65-B14+B15)*1000</f>
        <v>2829.8153034300794</v>
      </c>
      <c r="C16" s="28" t="s">
        <v>700</v>
      </c>
      <c r="D16" s="28"/>
      <c r="E16" s="28"/>
      <c r="F16" s="28"/>
      <c r="G16" s="28"/>
      <c r="H16" s="28"/>
      <c r="I16" s="231"/>
      <c r="J16" s="28"/>
      <c r="K16" s="28"/>
      <c r="L16" s="28"/>
      <c r="M16" s="28"/>
      <c r="N16" s="28"/>
      <c r="O16" s="28"/>
    </row>
    <row r="17" spans="1:19" ht="16.5" thickBot="1" x14ac:dyDescent="0.35">
      <c r="A17" s="28"/>
      <c r="B17" s="28" t="s">
        <v>676</v>
      </c>
      <c r="C17" s="28"/>
      <c r="D17" s="28"/>
      <c r="E17" s="28"/>
      <c r="F17" s="28"/>
      <c r="G17" s="28"/>
      <c r="H17" s="28"/>
      <c r="I17" s="222"/>
      <c r="J17" s="28"/>
      <c r="K17" s="28"/>
      <c r="L17" s="28"/>
      <c r="M17" s="28"/>
      <c r="N17" s="28"/>
      <c r="O17" s="28"/>
    </row>
    <row r="18" spans="1:19" ht="77.25"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19" ht="15.75" thickBot="1" x14ac:dyDescent="0.3">
      <c r="A19" s="32">
        <v>0</v>
      </c>
      <c r="B19" s="51">
        <v>4.7</v>
      </c>
      <c r="C19" s="182">
        <v>9.0299999999999994</v>
      </c>
      <c r="D19" s="23">
        <v>8.06</v>
      </c>
      <c r="E19" s="23">
        <v>0</v>
      </c>
      <c r="F19" s="23">
        <v>1.83</v>
      </c>
      <c r="G19" s="23">
        <v>714</v>
      </c>
      <c r="H19" s="23">
        <v>890</v>
      </c>
      <c r="I19" s="33">
        <v>63000000</v>
      </c>
      <c r="J19" s="125">
        <f>LOG(I$19)-LOG(I19)</f>
        <v>0</v>
      </c>
      <c r="K19" s="33" t="s">
        <v>35</v>
      </c>
      <c r="L19" s="23" t="s">
        <v>26</v>
      </c>
      <c r="M19" s="23" t="s">
        <v>26</v>
      </c>
      <c r="N19" s="23" t="s">
        <v>26</v>
      </c>
      <c r="O19" s="23" t="s">
        <v>26</v>
      </c>
      <c r="P19" s="233">
        <f>B$16*A19</f>
        <v>0</v>
      </c>
      <c r="Q19" s="233">
        <f>6/LINEST(J19:J20,P19:P20,FALSE)</f>
        <v>21878.535290327298</v>
      </c>
      <c r="R19" s="233">
        <f>Q19/3000</f>
        <v>7.2928450967757659</v>
      </c>
      <c r="S19" s="233">
        <f>(J28/LINEST($J19:$J20,$P19:$P20,FALSE))/$B$16</f>
        <v>10.05086651519278</v>
      </c>
    </row>
    <row r="20" spans="1:19" ht="15.75" thickBot="1" x14ac:dyDescent="0.3">
      <c r="A20" s="32">
        <v>5</v>
      </c>
      <c r="B20" s="125">
        <v>5</v>
      </c>
      <c r="C20" s="50">
        <v>7.01</v>
      </c>
      <c r="D20" s="24">
        <v>6.34</v>
      </c>
      <c r="E20" s="24">
        <v>7000</v>
      </c>
      <c r="F20" s="24">
        <v>5.5</v>
      </c>
      <c r="G20" s="24">
        <v>878</v>
      </c>
      <c r="H20" s="23" t="s">
        <v>26</v>
      </c>
      <c r="I20" s="33">
        <v>8300</v>
      </c>
      <c r="J20" s="125">
        <f>LOG(I$19)-LOG(I20)</f>
        <v>3.8802624570775084</v>
      </c>
      <c r="K20" s="33" t="s">
        <v>35</v>
      </c>
      <c r="L20" s="23" t="s">
        <v>26</v>
      </c>
      <c r="M20" s="23" t="s">
        <v>26</v>
      </c>
      <c r="N20" s="23" t="s">
        <v>26</v>
      </c>
      <c r="O20" s="23" t="s">
        <v>26</v>
      </c>
      <c r="P20" s="233">
        <f>B$16*A20</f>
        <v>14149.076517150397</v>
      </c>
      <c r="Q20" s="228"/>
    </row>
    <row r="21" spans="1:19" ht="15.75" thickBot="1" x14ac:dyDescent="0.3">
      <c r="A21" s="32">
        <v>10</v>
      </c>
      <c r="B21" s="125">
        <v>4.8</v>
      </c>
      <c r="C21" s="50">
        <v>7</v>
      </c>
      <c r="D21" s="50">
        <v>6.33</v>
      </c>
      <c r="E21" s="24">
        <v>5000</v>
      </c>
      <c r="F21" s="125">
        <v>0.5</v>
      </c>
      <c r="G21" s="24">
        <v>914</v>
      </c>
      <c r="H21" s="23" t="s">
        <v>26</v>
      </c>
      <c r="I21" s="33">
        <v>0</v>
      </c>
      <c r="J21" s="24" t="s">
        <v>520</v>
      </c>
      <c r="K21" s="33" t="s">
        <v>35</v>
      </c>
      <c r="L21" s="23" t="s">
        <v>26</v>
      </c>
      <c r="M21" s="23" t="s">
        <v>26</v>
      </c>
      <c r="N21" s="23" t="s">
        <v>26</v>
      </c>
      <c r="O21" s="23" t="s">
        <v>26</v>
      </c>
      <c r="P21" s="233">
        <f>B$16*A21</f>
        <v>28298.153034300794</v>
      </c>
      <c r="Q21" s="228"/>
    </row>
    <row r="22" spans="1:19" ht="15.75" thickBot="1" x14ac:dyDescent="0.3">
      <c r="A22" s="32">
        <v>20</v>
      </c>
      <c r="B22" s="125">
        <v>4.4000000000000004</v>
      </c>
      <c r="C22" s="24">
        <v>6.99</v>
      </c>
      <c r="D22" s="24">
        <v>6.27</v>
      </c>
      <c r="E22" s="24">
        <v>9000</v>
      </c>
      <c r="F22" s="24">
        <v>7.9</v>
      </c>
      <c r="G22" s="24">
        <v>910</v>
      </c>
      <c r="H22" s="23" t="s">
        <v>26</v>
      </c>
      <c r="I22" s="33">
        <v>0</v>
      </c>
      <c r="J22" s="24" t="s">
        <v>520</v>
      </c>
      <c r="K22" s="33" t="s">
        <v>35</v>
      </c>
      <c r="L22" s="23" t="s">
        <v>26</v>
      </c>
      <c r="M22" s="23" t="s">
        <v>26</v>
      </c>
      <c r="N22" s="23" t="s">
        <v>26</v>
      </c>
      <c r="O22" s="23" t="s">
        <v>26</v>
      </c>
      <c r="P22" s="233"/>
      <c r="Q22" s="228"/>
    </row>
    <row r="23" spans="1:19" ht="15.75" thickBot="1" x14ac:dyDescent="0.3">
      <c r="A23" s="32">
        <v>30</v>
      </c>
      <c r="B23" s="125">
        <v>4.3</v>
      </c>
      <c r="C23" s="24">
        <v>6.99</v>
      </c>
      <c r="D23" s="24">
        <v>6.21</v>
      </c>
      <c r="E23" s="24">
        <v>5000</v>
      </c>
      <c r="F23" s="24">
        <v>8.1</v>
      </c>
      <c r="G23" s="24">
        <v>1134</v>
      </c>
      <c r="H23" s="23" t="s">
        <v>26</v>
      </c>
      <c r="I23" s="33">
        <v>0</v>
      </c>
      <c r="J23" s="24" t="s">
        <v>520</v>
      </c>
      <c r="K23" s="33" t="s">
        <v>35</v>
      </c>
      <c r="L23" s="23" t="s">
        <v>26</v>
      </c>
      <c r="M23" s="23" t="s">
        <v>26</v>
      </c>
      <c r="N23" s="23" t="s">
        <v>26</v>
      </c>
      <c r="O23" s="23" t="s">
        <v>26</v>
      </c>
      <c r="P23" s="233"/>
      <c r="Q23" s="228"/>
    </row>
    <row r="24" spans="1:19" ht="15.75" thickBot="1" x14ac:dyDescent="0.3">
      <c r="A24" s="32">
        <v>60</v>
      </c>
      <c r="B24" s="125">
        <v>4</v>
      </c>
      <c r="C24" s="24">
        <v>6.99</v>
      </c>
      <c r="D24" s="50">
        <v>6.34</v>
      </c>
      <c r="E24" s="24">
        <v>6000</v>
      </c>
      <c r="F24" s="58">
        <v>7.2</v>
      </c>
      <c r="G24" s="24">
        <v>1238</v>
      </c>
      <c r="H24" s="23" t="s">
        <v>26</v>
      </c>
      <c r="I24" s="33">
        <v>0</v>
      </c>
      <c r="J24" s="24" t="s">
        <v>520</v>
      </c>
      <c r="K24" s="33" t="s">
        <v>35</v>
      </c>
      <c r="L24" s="23" t="s">
        <v>26</v>
      </c>
      <c r="M24" s="23" t="s">
        <v>26</v>
      </c>
      <c r="N24" s="23" t="s">
        <v>26</v>
      </c>
      <c r="O24" s="23" t="s">
        <v>26</v>
      </c>
      <c r="P24" s="233"/>
      <c r="Q24" s="228"/>
    </row>
    <row r="25" spans="1:19" ht="15.75" thickBot="1" x14ac:dyDescent="0.3">
      <c r="A25" s="32">
        <v>120</v>
      </c>
      <c r="B25" s="125">
        <v>3.7</v>
      </c>
      <c r="C25" s="50">
        <v>6.98</v>
      </c>
      <c r="D25" s="24">
        <v>6.29</v>
      </c>
      <c r="E25" s="24">
        <v>7000</v>
      </c>
      <c r="F25" s="103">
        <v>2.8</v>
      </c>
      <c r="G25" s="24">
        <v>840</v>
      </c>
      <c r="H25" s="23" t="s">
        <v>26</v>
      </c>
      <c r="I25" s="33">
        <v>0</v>
      </c>
      <c r="J25" s="24" t="s">
        <v>520</v>
      </c>
      <c r="K25" s="33" t="s">
        <v>35</v>
      </c>
      <c r="L25" s="23" t="s">
        <v>26</v>
      </c>
      <c r="M25" s="23" t="s">
        <v>26</v>
      </c>
      <c r="N25" s="23" t="s">
        <v>26</v>
      </c>
      <c r="O25" s="23" t="s">
        <v>26</v>
      </c>
      <c r="P25" s="233"/>
      <c r="Q25" s="228"/>
    </row>
    <row r="26" spans="1:19" ht="15.75" thickBot="1" x14ac:dyDescent="0.3">
      <c r="A26" s="32">
        <v>180</v>
      </c>
      <c r="B26" s="125">
        <v>3.8</v>
      </c>
      <c r="C26" s="50">
        <v>6.98</v>
      </c>
      <c r="D26" s="50">
        <v>6.29</v>
      </c>
      <c r="E26" s="24">
        <v>6000</v>
      </c>
      <c r="F26" s="103">
        <v>5.3</v>
      </c>
      <c r="G26" s="24">
        <v>972</v>
      </c>
      <c r="H26" s="23" t="s">
        <v>26</v>
      </c>
      <c r="I26" s="33">
        <v>0</v>
      </c>
      <c r="J26" s="24" t="s">
        <v>520</v>
      </c>
      <c r="K26" s="33" t="s">
        <v>35</v>
      </c>
      <c r="L26" s="23" t="s">
        <v>26</v>
      </c>
      <c r="M26" s="23" t="s">
        <v>26</v>
      </c>
      <c r="N26" s="23" t="s">
        <v>26</v>
      </c>
      <c r="O26" s="23" t="s">
        <v>26</v>
      </c>
      <c r="P26" s="233"/>
      <c r="Q26" s="228"/>
    </row>
    <row r="27" spans="1:19" ht="15.75" thickBot="1" x14ac:dyDescent="0.3">
      <c r="A27" s="32">
        <v>240</v>
      </c>
      <c r="B27" s="125">
        <v>3.9</v>
      </c>
      <c r="C27" s="24">
        <v>6.96</v>
      </c>
      <c r="D27" s="50">
        <v>6.24</v>
      </c>
      <c r="E27" s="24">
        <v>5000</v>
      </c>
      <c r="F27" s="103">
        <v>4.8</v>
      </c>
      <c r="G27" s="24">
        <v>1100</v>
      </c>
      <c r="H27" s="24">
        <v>256</v>
      </c>
      <c r="I27" s="33">
        <v>0</v>
      </c>
      <c r="J27" s="24" t="s">
        <v>520</v>
      </c>
      <c r="K27" s="33" t="s">
        <v>35</v>
      </c>
      <c r="L27" s="23" t="s">
        <v>26</v>
      </c>
      <c r="M27" s="36">
        <v>110</v>
      </c>
      <c r="N27" s="36">
        <v>12283</v>
      </c>
      <c r="O27" s="27">
        <v>1560</v>
      </c>
      <c r="P27" s="220"/>
    </row>
    <row r="28" spans="1:19" x14ac:dyDescent="0.25">
      <c r="B28" s="108">
        <f>AVERAGE(B20)</f>
        <v>5</v>
      </c>
      <c r="C28" s="108">
        <v>7.01</v>
      </c>
      <c r="E28" s="155">
        <f>AVERAGE(E20:E27)</f>
        <v>6250</v>
      </c>
      <c r="F28" s="155">
        <f>_xlfn.STDEV.P(E20:E27)</f>
        <v>1299.038105676658</v>
      </c>
      <c r="J28">
        <v>7.8</v>
      </c>
      <c r="N28" s="28"/>
      <c r="O28" s="28"/>
    </row>
    <row r="29" spans="1:19" x14ac:dyDescent="0.25">
      <c r="A29" s="28" t="s">
        <v>140</v>
      </c>
      <c r="B29" s="28"/>
      <c r="C29" s="28"/>
      <c r="D29" s="28"/>
      <c r="E29" s="28"/>
      <c r="F29" s="28"/>
      <c r="G29" s="28"/>
      <c r="H29" s="28"/>
      <c r="I29" s="222"/>
      <c r="J29" s="28"/>
      <c r="K29" s="28"/>
      <c r="L29" s="28"/>
      <c r="M29" s="28"/>
      <c r="N29" s="28"/>
      <c r="O29" s="28"/>
    </row>
    <row r="30" spans="1:19" x14ac:dyDescent="0.25">
      <c r="A30" s="28"/>
      <c r="B30" s="28" t="s">
        <v>141</v>
      </c>
      <c r="C30" s="28"/>
      <c r="D30" s="28"/>
      <c r="E30" s="28"/>
      <c r="F30" s="28"/>
      <c r="G30" s="28"/>
      <c r="H30" s="28"/>
      <c r="I30" s="222"/>
      <c r="J30" s="28"/>
      <c r="K30" s="28"/>
      <c r="L30" s="28"/>
      <c r="M30" s="28"/>
      <c r="N30" s="28" t="s">
        <v>34</v>
      </c>
      <c r="O30" s="28"/>
      <c r="R30" s="225"/>
    </row>
    <row r="31" spans="1:19" x14ac:dyDescent="0.25">
      <c r="A31" s="28" t="s">
        <v>264</v>
      </c>
      <c r="B31" s="28"/>
      <c r="C31" s="28"/>
      <c r="D31" s="28"/>
      <c r="E31" s="28"/>
      <c r="F31" s="28"/>
      <c r="G31" s="28"/>
      <c r="H31" s="28"/>
      <c r="I31" s="222"/>
      <c r="J31" s="28" t="s">
        <v>34</v>
      </c>
      <c r="K31" s="28"/>
      <c r="L31" s="28" t="s">
        <v>34</v>
      </c>
      <c r="M31" s="28"/>
      <c r="N31" s="28"/>
      <c r="O31" s="28"/>
      <c r="R31" s="225"/>
    </row>
    <row r="32" spans="1:19" x14ac:dyDescent="0.25">
      <c r="A32" s="59"/>
      <c r="F32" s="28"/>
      <c r="G32" s="28"/>
      <c r="H32" s="28"/>
      <c r="I32" s="222"/>
      <c r="J32" s="28"/>
      <c r="K32" s="28"/>
      <c r="L32" s="28" t="s">
        <v>34</v>
      </c>
      <c r="M32" s="28" t="s">
        <v>34</v>
      </c>
      <c r="N32" s="28"/>
      <c r="O32" s="28"/>
    </row>
    <row r="33" spans="1:15" x14ac:dyDescent="0.25">
      <c r="A33" s="19" t="s">
        <v>28</v>
      </c>
      <c r="B33" s="28"/>
      <c r="C33" s="28"/>
      <c r="D33" s="28"/>
      <c r="E33" s="28"/>
      <c r="F33" s="28"/>
      <c r="G33" s="28"/>
      <c r="H33" s="28"/>
      <c r="I33" s="222"/>
      <c r="J33" s="28"/>
      <c r="K33" s="28" t="s">
        <v>34</v>
      </c>
      <c r="L33" s="28"/>
      <c r="M33" s="28" t="s">
        <v>34</v>
      </c>
      <c r="N33" s="28"/>
      <c r="O33" s="28"/>
    </row>
    <row r="34" spans="1:15" x14ac:dyDescent="0.25">
      <c r="A34" s="28"/>
      <c r="B34" s="22" t="s">
        <v>679</v>
      </c>
      <c r="E34" s="28">
        <f>5.3625/E35</f>
        <v>2.68796992481203E-3</v>
      </c>
      <c r="F34" s="28">
        <f>E34*1000*1000</f>
        <v>2687.9699248120301</v>
      </c>
      <c r="G34" s="28"/>
      <c r="H34" s="28"/>
      <c r="I34" s="222"/>
      <c r="J34" s="28"/>
      <c r="K34" s="28"/>
      <c r="L34" s="28" t="s">
        <v>34</v>
      </c>
      <c r="M34" s="28" t="s">
        <v>34</v>
      </c>
      <c r="N34" s="28"/>
      <c r="O34" s="28"/>
    </row>
    <row r="35" spans="1:15" x14ac:dyDescent="0.25">
      <c r="A35" s="28"/>
      <c r="B35" s="189"/>
      <c r="C35" s="189"/>
      <c r="E35" s="28">
        <f>(2000+65-200+130)</f>
        <v>1995</v>
      </c>
      <c r="F35" s="189"/>
      <c r="G35" s="189"/>
      <c r="H35" s="189"/>
      <c r="I35" s="189"/>
      <c r="J35" s="189"/>
      <c r="K35" s="189"/>
      <c r="L35" s="189" t="s">
        <v>34</v>
      </c>
      <c r="M35" s="28"/>
      <c r="N35" s="28"/>
      <c r="O35" s="28"/>
    </row>
    <row r="36" spans="1:15" x14ac:dyDescent="0.25">
      <c r="A36" s="28"/>
      <c r="B36" s="189"/>
      <c r="C36" s="189"/>
      <c r="D36" s="189"/>
      <c r="E36" s="189"/>
      <c r="F36" s="189"/>
      <c r="G36" s="189"/>
      <c r="H36" s="189"/>
      <c r="I36" s="189"/>
      <c r="J36" s="189"/>
      <c r="K36" s="189"/>
      <c r="L36" s="189"/>
      <c r="M36" s="28"/>
      <c r="N36" s="28"/>
      <c r="O36" s="28"/>
    </row>
    <row r="37" spans="1:15" x14ac:dyDescent="0.25">
      <c r="A37" s="28"/>
      <c r="B37" s="22"/>
      <c r="C37" s="28"/>
      <c r="D37" s="28"/>
      <c r="E37" s="28"/>
      <c r="F37" s="28"/>
      <c r="G37" s="28"/>
      <c r="H37" s="28"/>
      <c r="I37" s="222"/>
      <c r="J37" s="28"/>
      <c r="K37" s="28"/>
      <c r="L37" s="28"/>
      <c r="M37" s="28" t="s">
        <v>34</v>
      </c>
      <c r="N37" s="28"/>
      <c r="O37" s="28"/>
    </row>
    <row r="38" spans="1:15" x14ac:dyDescent="0.25">
      <c r="A38" s="28"/>
      <c r="B38" s="189"/>
      <c r="D38" s="28"/>
      <c r="E38" s="28"/>
      <c r="F38" s="28"/>
      <c r="G38" s="28"/>
      <c r="H38" s="189"/>
      <c r="I38" s="189"/>
      <c r="J38" s="189"/>
      <c r="K38" s="189"/>
      <c r="M38" s="28"/>
      <c r="N38" s="28"/>
      <c r="O38" s="28"/>
    </row>
    <row r="39" spans="1:15" x14ac:dyDescent="0.25">
      <c r="A39" s="28"/>
      <c r="B39" s="189"/>
      <c r="C39" s="189"/>
      <c r="D39" s="189"/>
      <c r="E39" s="189"/>
      <c r="F39" s="28"/>
      <c r="G39" s="189"/>
      <c r="H39" s="189"/>
      <c r="I39" s="189"/>
      <c r="J39" s="189"/>
      <c r="K39" s="189"/>
      <c r="M39" s="28"/>
      <c r="N39" s="28"/>
      <c r="O39" s="28"/>
    </row>
    <row r="40" spans="1:15" x14ac:dyDescent="0.25">
      <c r="A40" s="28"/>
      <c r="B40" s="69"/>
      <c r="C40" s="87"/>
      <c r="D40" s="87"/>
      <c r="E40" s="87"/>
      <c r="F40" s="87"/>
      <c r="G40" s="87"/>
      <c r="H40" s="87"/>
      <c r="I40" s="88"/>
      <c r="J40" s="87"/>
      <c r="K40" s="87"/>
      <c r="L40" s="28"/>
      <c r="M40" s="28"/>
      <c r="N40" s="28"/>
      <c r="O40" s="28"/>
    </row>
    <row r="41" spans="1:15" x14ac:dyDescent="0.25">
      <c r="A41" s="28"/>
      <c r="B41" s="75"/>
      <c r="C41" s="28"/>
      <c r="D41" s="28"/>
      <c r="E41" s="28"/>
      <c r="F41" s="28"/>
      <c r="G41" s="28"/>
      <c r="H41" s="28"/>
      <c r="I41" s="222"/>
      <c r="J41" s="28"/>
      <c r="K41" s="28"/>
      <c r="N41" s="28"/>
      <c r="O41" s="28"/>
    </row>
    <row r="42" spans="1:15" x14ac:dyDescent="0.25">
      <c r="A42" s="28"/>
      <c r="B42" s="22"/>
      <c r="L42" s="28"/>
      <c r="N42" s="28"/>
      <c r="O42" s="28"/>
    </row>
    <row r="43" spans="1:15" x14ac:dyDescent="0.25">
      <c r="A43" s="28"/>
      <c r="B43" s="22"/>
      <c r="L43" s="28"/>
      <c r="N43" s="28"/>
      <c r="O43" s="28" t="s">
        <v>34</v>
      </c>
    </row>
    <row r="44" spans="1:15" x14ac:dyDescent="0.25">
      <c r="A44" s="28"/>
      <c r="B44" s="22"/>
      <c r="L44" s="28"/>
      <c r="M44" s="28"/>
      <c r="N44" s="28"/>
      <c r="O44" s="28"/>
    </row>
    <row r="45" spans="1:15" x14ac:dyDescent="0.25">
      <c r="B45" s="189"/>
      <c r="C45" s="64"/>
      <c r="D45" s="64"/>
      <c r="E45" s="64"/>
      <c r="F45" s="64"/>
      <c r="G45" s="64"/>
      <c r="H45" s="64"/>
      <c r="I45" s="64"/>
      <c r="J45" s="64"/>
      <c r="K45" s="64"/>
      <c r="L45" s="65"/>
      <c r="M45" s="28"/>
      <c r="N45" s="28"/>
      <c r="O45" s="28"/>
    </row>
    <row r="46" spans="1:15" x14ac:dyDescent="0.25">
      <c r="B46" s="189"/>
    </row>
    <row r="47" spans="1:15" x14ac:dyDescent="0.25">
      <c r="B47" s="22"/>
      <c r="C47" s="28"/>
      <c r="D47" s="28"/>
      <c r="E47" s="28"/>
      <c r="F47" s="28"/>
      <c r="G47" s="28"/>
      <c r="H47" s="28"/>
      <c r="I47" s="222"/>
      <c r="J47" s="28"/>
    </row>
    <row r="48" spans="1:15" x14ac:dyDescent="0.25">
      <c r="B48" s="189"/>
      <c r="C48" s="64"/>
      <c r="D48" s="64"/>
      <c r="E48" s="64"/>
      <c r="F48" s="64"/>
      <c r="G48" s="64"/>
      <c r="H48" s="64"/>
      <c r="I48" s="64"/>
      <c r="J48" s="64"/>
      <c r="K48" s="64"/>
      <c r="L48" s="65"/>
      <c r="O48" t="s">
        <v>34</v>
      </c>
    </row>
    <row r="49" spans="2:14" x14ac:dyDescent="0.25">
      <c r="B49" s="189"/>
      <c r="C49" s="189"/>
      <c r="D49" s="189"/>
      <c r="E49" s="189"/>
      <c r="F49" s="189"/>
      <c r="G49" s="189"/>
      <c r="H49" s="189"/>
      <c r="I49" s="189"/>
      <c r="J49" s="189"/>
      <c r="K49" s="189"/>
      <c r="N49" t="s">
        <v>34</v>
      </c>
    </row>
    <row r="50" spans="2:14" x14ac:dyDescent="0.25">
      <c r="B50" s="189"/>
      <c r="C50" s="189"/>
      <c r="D50" s="189"/>
      <c r="E50" s="189"/>
      <c r="F50" s="189"/>
      <c r="G50" s="189"/>
      <c r="H50" s="189"/>
      <c r="I50" s="189"/>
      <c r="J50" s="189"/>
      <c r="K50" s="189"/>
    </row>
    <row r="51" spans="2:14" x14ac:dyDescent="0.25">
      <c r="B51" s="22"/>
      <c r="C51" s="28"/>
      <c r="D51" s="28"/>
      <c r="E51" s="28"/>
      <c r="F51" s="28"/>
      <c r="G51" s="28"/>
      <c r="H51" s="222"/>
      <c r="I51" s="28"/>
      <c r="J51" s="189"/>
      <c r="K51" s="28"/>
    </row>
    <row r="52" spans="2:14" x14ac:dyDescent="0.25">
      <c r="N52" t="s">
        <v>34</v>
      </c>
    </row>
  </sheetData>
  <pageMargins left="0.7" right="0.7" top="0.75" bottom="0.75" header="0.3" footer="0.3"/>
  <pageSetup scale="62" orientation="landscape" verticalDpi="597" r:id="rId1"/>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pageSetUpPr fitToPage="1"/>
  </sheetPr>
  <dimension ref="A6:S54"/>
  <sheetViews>
    <sheetView zoomScale="90" zoomScaleNormal="90" workbookViewId="0"/>
  </sheetViews>
  <sheetFormatPr defaultRowHeight="15" x14ac:dyDescent="0.25"/>
  <cols>
    <col min="2" max="2" width="10.7109375" customWidth="1"/>
  </cols>
  <sheetData>
    <row r="6" spans="1:15" x14ac:dyDescent="0.25">
      <c r="A6" s="7" t="s">
        <v>12</v>
      </c>
      <c r="B6" s="28"/>
      <c r="C6" s="28"/>
      <c r="D6" s="28"/>
      <c r="E6" s="28"/>
      <c r="F6" s="28"/>
      <c r="G6" s="28"/>
      <c r="H6" s="22"/>
      <c r="I6" s="28"/>
      <c r="J6" s="28"/>
      <c r="K6" s="28"/>
      <c r="L6" s="28"/>
      <c r="M6" s="28"/>
      <c r="N6" s="28"/>
      <c r="O6" s="28"/>
    </row>
    <row r="7" spans="1:15" x14ac:dyDescent="0.25">
      <c r="A7" s="30" t="s">
        <v>13</v>
      </c>
      <c r="B7" s="30">
        <v>40982</v>
      </c>
      <c r="H7" s="189"/>
      <c r="I7" s="189"/>
    </row>
    <row r="8" spans="1:15" x14ac:dyDescent="0.25">
      <c r="A8" s="28" t="s">
        <v>14</v>
      </c>
      <c r="B8" s="28">
        <v>22</v>
      </c>
      <c r="C8" s="28" t="s">
        <v>492</v>
      </c>
      <c r="D8" s="28"/>
      <c r="E8" s="28"/>
      <c r="F8" s="28"/>
      <c r="G8" s="28"/>
      <c r="H8" s="75"/>
      <c r="I8" s="28"/>
      <c r="K8" s="28"/>
      <c r="L8" s="28" t="s">
        <v>34</v>
      </c>
      <c r="M8" s="28"/>
      <c r="N8" s="28"/>
      <c r="O8" s="28"/>
    </row>
    <row r="9" spans="1:15" x14ac:dyDescent="0.25">
      <c r="A9" s="28" t="s">
        <v>15</v>
      </c>
      <c r="B9" s="28">
        <v>10</v>
      </c>
      <c r="C9" s="28" t="s">
        <v>240</v>
      </c>
      <c r="D9" s="28"/>
      <c r="E9" s="28"/>
      <c r="F9" s="28"/>
      <c r="G9" s="28"/>
      <c r="H9" s="22"/>
      <c r="L9" s="28"/>
      <c r="M9" s="28"/>
      <c r="N9" s="28"/>
      <c r="O9" s="28"/>
    </row>
    <row r="10" spans="1:15" x14ac:dyDescent="0.25">
      <c r="A10" s="28" t="s">
        <v>16</v>
      </c>
      <c r="B10" s="31">
        <v>2000</v>
      </c>
      <c r="C10" s="28" t="s">
        <v>710</v>
      </c>
      <c r="D10" s="28"/>
      <c r="E10" s="28"/>
      <c r="F10" s="28"/>
      <c r="G10" s="28"/>
      <c r="L10" s="28" t="s">
        <v>34</v>
      </c>
      <c r="M10" s="28" t="s">
        <v>34</v>
      </c>
      <c r="N10" s="28" t="s">
        <v>34</v>
      </c>
      <c r="O10" s="28"/>
    </row>
    <row r="11" spans="1:15" x14ac:dyDescent="0.25">
      <c r="A11" s="28"/>
      <c r="B11" s="238">
        <v>200000000</v>
      </c>
      <c r="C11" s="28" t="s">
        <v>706</v>
      </c>
      <c r="D11" s="28"/>
      <c r="E11" s="28"/>
      <c r="F11" s="28"/>
      <c r="G11" s="28"/>
      <c r="H11" s="28"/>
      <c r="I11" s="29"/>
      <c r="J11" s="28"/>
      <c r="K11" s="28" t="s">
        <v>34</v>
      </c>
      <c r="L11" s="28"/>
      <c r="M11" s="28"/>
      <c r="N11" s="28"/>
      <c r="O11" s="28"/>
    </row>
    <row r="12" spans="1:15" x14ac:dyDescent="0.25">
      <c r="A12" s="28"/>
      <c r="B12" s="31">
        <v>95</v>
      </c>
      <c r="C12" s="28" t="s">
        <v>707</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39"/>
      <c r="J13" s="28"/>
      <c r="K13" s="28"/>
      <c r="L13" s="28"/>
      <c r="M13" s="28"/>
      <c r="N13" s="28"/>
      <c r="O13" s="28"/>
    </row>
    <row r="14" spans="1:15" x14ac:dyDescent="0.25">
      <c r="A14" s="28"/>
      <c r="B14" s="31">
        <v>100</v>
      </c>
      <c r="C14" s="87" t="s">
        <v>696</v>
      </c>
      <c r="D14" s="28"/>
      <c r="E14" s="28"/>
      <c r="F14" s="28"/>
      <c r="G14" s="28"/>
      <c r="H14" s="28"/>
      <c r="I14" s="239"/>
      <c r="J14" s="28"/>
      <c r="K14" s="28"/>
      <c r="L14" s="28"/>
      <c r="M14" s="28"/>
      <c r="N14" s="28"/>
      <c r="O14" s="28"/>
    </row>
    <row r="15" spans="1:15" x14ac:dyDescent="0.25">
      <c r="A15" s="28"/>
      <c r="B15" s="31">
        <v>0</v>
      </c>
      <c r="C15" s="87" t="s">
        <v>698</v>
      </c>
      <c r="D15" s="28"/>
      <c r="E15" s="28"/>
      <c r="F15" s="28"/>
      <c r="G15" s="28"/>
      <c r="H15" s="28"/>
      <c r="I15" s="239"/>
      <c r="J15" s="28"/>
      <c r="K15" s="28"/>
      <c r="L15" s="28"/>
      <c r="M15" s="28"/>
      <c r="N15" s="28"/>
      <c r="O15" s="28"/>
    </row>
    <row r="16" spans="1:15" x14ac:dyDescent="0.25">
      <c r="A16" s="28"/>
      <c r="B16" s="232">
        <f>(B12*B13/100*1000)/(B10+65-B14+B15)*1000</f>
        <v>2900.7633587786258</v>
      </c>
      <c r="C16" s="28" t="s">
        <v>700</v>
      </c>
      <c r="D16" s="28"/>
      <c r="E16" s="28"/>
      <c r="F16" s="28"/>
      <c r="G16" s="28"/>
      <c r="H16" s="28"/>
      <c r="I16" s="239"/>
      <c r="J16" s="28"/>
      <c r="K16" s="28"/>
      <c r="L16" s="28"/>
      <c r="M16" s="28"/>
      <c r="N16" s="28"/>
      <c r="O16" s="28"/>
    </row>
    <row r="17" spans="1:19" ht="15.75" thickBot="1" x14ac:dyDescent="0.3">
      <c r="A17" s="28"/>
      <c r="B17" s="28" t="s">
        <v>705</v>
      </c>
      <c r="C17" s="28"/>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20.8</v>
      </c>
      <c r="C19" s="23">
        <v>8.2100000000000009</v>
      </c>
      <c r="D19" s="23">
        <v>7.98</v>
      </c>
      <c r="E19" s="23">
        <v>0.26</v>
      </c>
      <c r="F19" s="23">
        <v>0.54</v>
      </c>
      <c r="G19" s="23">
        <v>290</v>
      </c>
      <c r="H19" s="23">
        <v>8130</v>
      </c>
      <c r="I19" s="33">
        <v>11000000</v>
      </c>
      <c r="J19" s="23">
        <v>0</v>
      </c>
      <c r="K19" s="33">
        <v>21000000</v>
      </c>
      <c r="L19" s="23" t="s">
        <v>26</v>
      </c>
      <c r="M19" s="34"/>
      <c r="N19" s="34"/>
      <c r="O19" s="35"/>
      <c r="P19" s="233">
        <f t="shared" ref="P19:P24" si="0">B$16*A19</f>
        <v>0</v>
      </c>
      <c r="Q19" s="233">
        <f>6/LINEST(J19:J24,P19:P24,FALSE)</f>
        <v>87579.402127153226</v>
      </c>
      <c r="R19" s="233">
        <f>Q19/3000</f>
        <v>29.193134042384408</v>
      </c>
      <c r="S19" s="233">
        <f>(J27/LINEST($J19:$J24,$P19:$P24,FALSE))/$B$16</f>
        <v>35.425099920063943</v>
      </c>
    </row>
    <row r="20" spans="1:19" ht="15.75" thickBot="1" x14ac:dyDescent="0.3">
      <c r="A20" s="32">
        <v>3</v>
      </c>
      <c r="B20" s="24">
        <v>21</v>
      </c>
      <c r="C20" s="24">
        <v>10</v>
      </c>
      <c r="D20" s="24">
        <v>10.8</v>
      </c>
      <c r="E20" s="24">
        <v>2500</v>
      </c>
      <c r="F20" s="24">
        <v>0.6</v>
      </c>
      <c r="G20" s="24">
        <v>260</v>
      </c>
      <c r="H20" s="24">
        <v>7820</v>
      </c>
      <c r="I20" s="33">
        <v>8800000</v>
      </c>
      <c r="J20" s="24">
        <v>0.1</v>
      </c>
      <c r="K20" s="33">
        <v>10000000</v>
      </c>
      <c r="L20" s="24">
        <v>0.32</v>
      </c>
      <c r="M20" s="35"/>
      <c r="N20" s="35"/>
      <c r="O20" s="35"/>
      <c r="P20" s="233">
        <f t="shared" si="0"/>
        <v>8702.2900763358775</v>
      </c>
      <c r="Q20" s="228"/>
    </row>
    <row r="21" spans="1:19" ht="15.75" thickBot="1" x14ac:dyDescent="0.3">
      <c r="A21" s="32">
        <v>5</v>
      </c>
      <c r="B21" s="24">
        <v>21.1</v>
      </c>
      <c r="C21" s="24">
        <v>9.93</v>
      </c>
      <c r="D21" s="24">
        <v>10.94</v>
      </c>
      <c r="E21" s="24">
        <v>2700</v>
      </c>
      <c r="F21" s="24">
        <v>0.61</v>
      </c>
      <c r="G21" s="24">
        <v>260</v>
      </c>
      <c r="H21" s="24"/>
      <c r="I21" s="33">
        <v>5700000</v>
      </c>
      <c r="J21" s="24">
        <v>0.28000000000000003</v>
      </c>
      <c r="K21" s="33">
        <v>3200000</v>
      </c>
      <c r="L21" s="24">
        <v>0.82</v>
      </c>
      <c r="M21" s="35"/>
      <c r="N21" s="35"/>
      <c r="O21" s="35"/>
      <c r="P21" s="233">
        <f t="shared" si="0"/>
        <v>14503.816793893129</v>
      </c>
      <c r="Q21" s="228"/>
    </row>
    <row r="22" spans="1:19" ht="15.75" thickBot="1" x14ac:dyDescent="0.3">
      <c r="A22" s="32">
        <v>10</v>
      </c>
      <c r="B22" s="24">
        <v>21.1</v>
      </c>
      <c r="C22" s="24">
        <v>9.86</v>
      </c>
      <c r="D22" s="24">
        <v>11.02</v>
      </c>
      <c r="E22" s="24">
        <v>2300</v>
      </c>
      <c r="F22" s="24">
        <v>0.4</v>
      </c>
      <c r="G22" s="24">
        <v>250</v>
      </c>
      <c r="H22" s="24"/>
      <c r="I22" s="33">
        <v>10000</v>
      </c>
      <c r="J22" s="24">
        <v>3.04</v>
      </c>
      <c r="K22" s="33">
        <v>600000</v>
      </c>
      <c r="L22" s="24">
        <v>1.54</v>
      </c>
      <c r="M22" s="35"/>
      <c r="N22" s="35"/>
      <c r="O22" s="35"/>
      <c r="P22" s="233">
        <f t="shared" si="0"/>
        <v>29007.633587786258</v>
      </c>
      <c r="Q22" s="228"/>
    </row>
    <row r="23" spans="1:19" ht="15.75" thickBot="1" x14ac:dyDescent="0.3">
      <c r="A23" s="32">
        <v>15</v>
      </c>
      <c r="B23" s="24">
        <v>21.2</v>
      </c>
      <c r="C23" s="24">
        <v>9.73</v>
      </c>
      <c r="D23" s="24">
        <v>11.05</v>
      </c>
      <c r="E23" s="24">
        <v>2500</v>
      </c>
      <c r="F23" s="24">
        <v>0.37</v>
      </c>
      <c r="G23" s="24">
        <v>240</v>
      </c>
      <c r="H23" s="24"/>
      <c r="I23" s="33">
        <v>1500</v>
      </c>
      <c r="J23" s="24">
        <v>3.86</v>
      </c>
      <c r="K23" s="33">
        <v>40000</v>
      </c>
      <c r="L23" s="24">
        <v>2.72</v>
      </c>
      <c r="M23" s="35"/>
      <c r="N23" s="35"/>
      <c r="O23" s="35"/>
      <c r="P23" s="233">
        <f t="shared" si="0"/>
        <v>43511.450381679388</v>
      </c>
      <c r="Q23" s="228"/>
    </row>
    <row r="24" spans="1:19" ht="15.75" thickBot="1" x14ac:dyDescent="0.3">
      <c r="A24" s="32">
        <v>30</v>
      </c>
      <c r="B24" s="24">
        <v>22</v>
      </c>
      <c r="C24" s="24">
        <v>9.67</v>
      </c>
      <c r="D24" s="24">
        <v>10.99</v>
      </c>
      <c r="E24" s="24">
        <v>2700</v>
      </c>
      <c r="F24" s="24">
        <v>0.72</v>
      </c>
      <c r="G24" s="24">
        <v>230</v>
      </c>
      <c r="H24" s="24"/>
      <c r="I24" s="33">
        <v>50</v>
      </c>
      <c r="J24" s="24">
        <v>5.34</v>
      </c>
      <c r="K24" s="33">
        <v>0</v>
      </c>
      <c r="L24" s="24" t="s">
        <v>249</v>
      </c>
      <c r="M24" s="36"/>
      <c r="N24" s="36"/>
      <c r="O24" s="35"/>
      <c r="P24" s="233">
        <f t="shared" si="0"/>
        <v>87022.900763358775</v>
      </c>
      <c r="Q24" s="228"/>
    </row>
    <row r="25" spans="1:19" ht="15.75" thickBot="1" x14ac:dyDescent="0.3">
      <c r="A25" s="32">
        <v>60</v>
      </c>
      <c r="B25" s="24">
        <v>22.3</v>
      </c>
      <c r="C25" s="24">
        <v>9.5</v>
      </c>
      <c r="D25" s="24">
        <v>11.02</v>
      </c>
      <c r="E25" s="24">
        <v>2700</v>
      </c>
      <c r="F25" s="58">
        <v>0.48</v>
      </c>
      <c r="G25" s="24">
        <v>220</v>
      </c>
      <c r="H25" s="24">
        <v>8160</v>
      </c>
      <c r="I25" s="33">
        <v>0</v>
      </c>
      <c r="J25" s="24" t="s">
        <v>180</v>
      </c>
      <c r="K25" s="33">
        <v>0</v>
      </c>
      <c r="L25" s="24" t="s">
        <v>249</v>
      </c>
      <c r="M25" s="60" t="s">
        <v>250</v>
      </c>
      <c r="N25" s="36">
        <v>8970</v>
      </c>
      <c r="O25" s="27">
        <v>2370</v>
      </c>
      <c r="P25" s="233"/>
      <c r="Q25" s="228"/>
    </row>
    <row r="26" spans="1:19" ht="15.75" thickBot="1" x14ac:dyDescent="0.3">
      <c r="A26" s="86" t="s">
        <v>242</v>
      </c>
      <c r="B26" s="36">
        <v>22.3</v>
      </c>
      <c r="C26" s="36">
        <v>9.5</v>
      </c>
      <c r="D26" s="36">
        <v>10.96</v>
      </c>
      <c r="E26" s="36">
        <v>2500</v>
      </c>
      <c r="F26" s="36">
        <v>0.3</v>
      </c>
      <c r="G26" s="36">
        <v>230</v>
      </c>
      <c r="H26" s="36">
        <v>7970</v>
      </c>
      <c r="I26" s="33">
        <v>0</v>
      </c>
      <c r="J26" s="24" t="s">
        <v>180</v>
      </c>
      <c r="K26" s="33">
        <v>0</v>
      </c>
      <c r="L26" s="24" t="s">
        <v>249</v>
      </c>
      <c r="M26" s="60" t="s">
        <v>251</v>
      </c>
      <c r="N26" s="36">
        <v>8829</v>
      </c>
      <c r="O26" s="35"/>
      <c r="P26" s="233"/>
      <c r="Q26" s="228"/>
    </row>
    <row r="27" spans="1:19" ht="15.75" thickBot="1" x14ac:dyDescent="0.3">
      <c r="B27">
        <f>AVERAGE(B20:B24)</f>
        <v>21.28</v>
      </c>
      <c r="C27">
        <f>AVERAGE(C20:C24)</f>
        <v>9.8379999999999992</v>
      </c>
      <c r="J27" s="320">
        <v>7.04</v>
      </c>
      <c r="N27" s="28"/>
      <c r="O27" s="28"/>
      <c r="P27" s="220"/>
    </row>
    <row r="28" spans="1:19" x14ac:dyDescent="0.25">
      <c r="A28" s="28" t="s">
        <v>140</v>
      </c>
      <c r="B28" s="28"/>
      <c r="C28" s="28"/>
      <c r="D28" s="28"/>
      <c r="E28" s="28"/>
      <c r="F28" s="28"/>
      <c r="G28" s="28"/>
      <c r="H28" s="28"/>
      <c r="I28" s="29"/>
      <c r="J28" s="28"/>
      <c r="K28" s="28"/>
      <c r="L28" s="28"/>
      <c r="M28" s="28"/>
      <c r="N28" s="28"/>
      <c r="O28" s="28"/>
    </row>
    <row r="29" spans="1:19" x14ac:dyDescent="0.25">
      <c r="A29" s="28"/>
      <c r="B29" s="28" t="s">
        <v>141</v>
      </c>
      <c r="C29" s="28"/>
      <c r="D29" s="28"/>
      <c r="E29" s="28"/>
      <c r="F29" s="28"/>
      <c r="G29" s="28"/>
      <c r="H29" s="28"/>
      <c r="I29" s="29"/>
      <c r="J29" s="28"/>
      <c r="K29" s="28"/>
      <c r="L29" s="28"/>
      <c r="M29" s="28"/>
      <c r="N29" s="28" t="s">
        <v>34</v>
      </c>
      <c r="O29" s="28"/>
    </row>
    <row r="30" spans="1:19" x14ac:dyDescent="0.25">
      <c r="A30" s="28" t="s">
        <v>272</v>
      </c>
      <c r="B30" s="28"/>
      <c r="C30" s="28"/>
      <c r="D30" s="28"/>
      <c r="E30" s="28"/>
      <c r="F30" s="28"/>
      <c r="G30" s="28"/>
      <c r="H30" s="28"/>
      <c r="I30" s="29"/>
      <c r="J30" s="28"/>
      <c r="K30" s="28"/>
      <c r="L30" s="28" t="s">
        <v>34</v>
      </c>
      <c r="M30" s="28"/>
      <c r="N30" s="28"/>
      <c r="O30" s="28"/>
    </row>
    <row r="31" spans="1:19" x14ac:dyDescent="0.25">
      <c r="A31" s="59" t="s">
        <v>273</v>
      </c>
      <c r="F31" s="28"/>
      <c r="G31" s="28"/>
      <c r="H31" s="28"/>
      <c r="I31" s="29"/>
      <c r="J31" s="28"/>
      <c r="K31" s="28" t="s">
        <v>34</v>
      </c>
      <c r="L31" s="28" t="s">
        <v>34</v>
      </c>
      <c r="M31" s="28" t="s">
        <v>34</v>
      </c>
      <c r="N31" s="28"/>
      <c r="O31" s="28"/>
    </row>
    <row r="32" spans="1:19" x14ac:dyDescent="0.25">
      <c r="A32" s="59"/>
      <c r="F32" s="28"/>
      <c r="G32" s="28"/>
      <c r="H32" s="28"/>
      <c r="I32" s="29"/>
      <c r="J32" s="28"/>
      <c r="K32" s="28"/>
      <c r="L32" s="28"/>
      <c r="M32" s="28"/>
      <c r="N32" s="28"/>
      <c r="O32" s="28"/>
    </row>
    <row r="33" spans="1:15" x14ac:dyDescent="0.25">
      <c r="A33" s="19" t="s">
        <v>28</v>
      </c>
      <c r="B33" s="28"/>
      <c r="C33" s="28"/>
      <c r="D33" s="28"/>
      <c r="E33" s="28"/>
      <c r="F33" s="28"/>
      <c r="G33" s="28"/>
      <c r="H33" s="28"/>
      <c r="I33" s="29"/>
      <c r="J33" s="28"/>
      <c r="K33" s="28" t="s">
        <v>34</v>
      </c>
      <c r="L33" s="28" t="s">
        <v>34</v>
      </c>
      <c r="M33" s="28" t="s">
        <v>34</v>
      </c>
      <c r="N33" s="28"/>
      <c r="O33" s="28"/>
    </row>
    <row r="34" spans="1:15" x14ac:dyDescent="0.25">
      <c r="A34" s="28"/>
      <c r="B34" s="22"/>
      <c r="C34" s="28"/>
      <c r="D34" s="28"/>
      <c r="E34" s="28"/>
      <c r="F34" s="28"/>
      <c r="G34" s="28"/>
      <c r="H34" s="28"/>
      <c r="I34" s="29"/>
      <c r="J34" s="28"/>
      <c r="K34" s="28"/>
      <c r="L34" s="28" t="s">
        <v>34</v>
      </c>
      <c r="M34" s="28" t="s">
        <v>34</v>
      </c>
      <c r="N34" s="28"/>
      <c r="O34" s="28"/>
    </row>
    <row r="35" spans="1:15" x14ac:dyDescent="0.25">
      <c r="A35" s="28"/>
      <c r="B35" s="41" t="s">
        <v>276</v>
      </c>
      <c r="C35" s="41"/>
      <c r="D35" s="41"/>
      <c r="E35" s="41"/>
      <c r="F35" s="41"/>
      <c r="G35" s="41"/>
      <c r="H35" s="41"/>
      <c r="I35" s="41"/>
      <c r="J35" s="41"/>
      <c r="K35" s="41"/>
      <c r="L35" s="41" t="s">
        <v>34</v>
      </c>
      <c r="M35" s="28"/>
      <c r="N35" s="28"/>
      <c r="O35" s="28"/>
    </row>
    <row r="36" spans="1:15" x14ac:dyDescent="0.25">
      <c r="A36" s="28"/>
      <c r="B36" s="41"/>
      <c r="C36" s="41"/>
      <c r="D36" s="41"/>
      <c r="E36" s="41"/>
      <c r="F36" s="41"/>
      <c r="G36" s="41"/>
      <c r="H36" s="41"/>
      <c r="I36" s="41"/>
      <c r="J36" s="41"/>
      <c r="K36" s="41"/>
      <c r="L36" s="41"/>
      <c r="M36" s="28"/>
      <c r="N36" s="28"/>
      <c r="O36" s="28"/>
    </row>
    <row r="37" spans="1:15" x14ac:dyDescent="0.25">
      <c r="A37" s="28"/>
      <c r="B37" s="22" t="s">
        <v>146</v>
      </c>
      <c r="C37" s="28"/>
      <c r="D37" s="28"/>
      <c r="E37" s="28"/>
      <c r="F37" s="28"/>
      <c r="G37" s="28"/>
      <c r="H37" s="28"/>
      <c r="I37" s="29"/>
      <c r="J37" s="28"/>
      <c r="K37" s="28"/>
      <c r="L37" s="28"/>
      <c r="M37" s="28" t="s">
        <v>34</v>
      </c>
      <c r="N37" s="28"/>
      <c r="O37" s="28"/>
    </row>
    <row r="38" spans="1:15" x14ac:dyDescent="0.25">
      <c r="A38" s="28"/>
      <c r="B38" s="41" t="s">
        <v>278</v>
      </c>
      <c r="C38" s="41"/>
      <c r="D38" s="41"/>
      <c r="E38" s="41"/>
      <c r="F38" s="41"/>
      <c r="G38" s="41"/>
      <c r="H38" s="41"/>
      <c r="I38" s="41"/>
      <c r="J38" s="41"/>
      <c r="K38" s="41"/>
      <c r="L38" s="41"/>
      <c r="M38" s="28"/>
      <c r="N38" s="28"/>
      <c r="O38" s="28"/>
    </row>
    <row r="39" spans="1:15" x14ac:dyDescent="0.25">
      <c r="A39" s="28"/>
      <c r="B39" s="41" t="s">
        <v>284</v>
      </c>
      <c r="C39" s="41"/>
      <c r="D39" s="41"/>
      <c r="E39" s="41"/>
      <c r="F39" s="41"/>
      <c r="G39" s="41"/>
      <c r="H39" s="41"/>
      <c r="I39" s="41"/>
      <c r="J39" s="41"/>
      <c r="K39" s="41"/>
      <c r="L39" s="41"/>
      <c r="M39" s="28"/>
      <c r="N39" s="28"/>
      <c r="O39" s="28"/>
    </row>
    <row r="40" spans="1:15" x14ac:dyDescent="0.25">
      <c r="A40" s="28"/>
      <c r="B40" s="69" t="s">
        <v>156</v>
      </c>
      <c r="C40" s="87"/>
      <c r="D40" s="87"/>
      <c r="E40" s="87"/>
      <c r="F40" s="87"/>
      <c r="G40" s="87"/>
      <c r="H40" s="87"/>
      <c r="I40" s="88"/>
      <c r="J40" s="87"/>
      <c r="K40" s="87"/>
      <c r="L40" s="28"/>
      <c r="M40" s="28"/>
      <c r="N40" s="28"/>
      <c r="O40" s="28"/>
    </row>
    <row r="41" spans="1:15" x14ac:dyDescent="0.25">
      <c r="A41" s="28"/>
      <c r="B41" s="41" t="s">
        <v>252</v>
      </c>
      <c r="N41" s="28"/>
      <c r="O41" s="28"/>
    </row>
    <row r="42" spans="1:15" x14ac:dyDescent="0.25">
      <c r="A42" s="28"/>
      <c r="B42" s="41" t="s">
        <v>291</v>
      </c>
      <c r="N42" s="28"/>
      <c r="O42" s="28"/>
    </row>
    <row r="43" spans="1:15" x14ac:dyDescent="0.25">
      <c r="A43" s="28"/>
      <c r="B43" s="75" t="s">
        <v>36</v>
      </c>
      <c r="C43" s="28"/>
      <c r="D43" s="28"/>
      <c r="E43" s="28"/>
      <c r="F43" s="28"/>
      <c r="G43" s="28"/>
      <c r="H43" s="28"/>
      <c r="I43" s="29"/>
      <c r="J43" s="28"/>
      <c r="K43" s="28"/>
      <c r="N43" s="28"/>
      <c r="O43" s="28" t="s">
        <v>34</v>
      </c>
    </row>
    <row r="44" spans="1:15" x14ac:dyDescent="0.25">
      <c r="A44" s="28"/>
      <c r="B44" s="22" t="s">
        <v>133</v>
      </c>
      <c r="L44" s="28"/>
      <c r="M44" s="28"/>
      <c r="N44" s="28"/>
      <c r="O44" s="28"/>
    </row>
    <row r="45" spans="1:15" x14ac:dyDescent="0.25">
      <c r="B45" s="22" t="s">
        <v>279</v>
      </c>
      <c r="L45" s="28"/>
      <c r="M45" s="28"/>
      <c r="N45" s="28"/>
      <c r="O45" s="28"/>
    </row>
    <row r="46" spans="1:15" x14ac:dyDescent="0.25">
      <c r="B46" s="22" t="s">
        <v>297</v>
      </c>
      <c r="L46" s="28"/>
    </row>
    <row r="47" spans="1:15" x14ac:dyDescent="0.25">
      <c r="B47" s="41" t="s">
        <v>280</v>
      </c>
      <c r="C47" s="64"/>
      <c r="D47" s="64"/>
      <c r="E47" s="64"/>
      <c r="F47" s="64"/>
      <c r="G47" s="64"/>
      <c r="H47" s="64"/>
      <c r="I47" s="64"/>
      <c r="J47" s="64"/>
      <c r="K47" s="64"/>
      <c r="L47" s="65"/>
    </row>
    <row r="48" spans="1:15" x14ac:dyDescent="0.25">
      <c r="B48" s="22" t="s">
        <v>281</v>
      </c>
      <c r="O48" t="s">
        <v>34</v>
      </c>
    </row>
    <row r="49" spans="2:14" x14ac:dyDescent="0.25">
      <c r="B49" s="22" t="s">
        <v>282</v>
      </c>
      <c r="C49" s="28"/>
      <c r="D49" s="28"/>
      <c r="E49" s="28"/>
      <c r="F49" s="28"/>
      <c r="G49" s="28"/>
      <c r="H49" s="28"/>
      <c r="I49" s="29"/>
      <c r="J49" s="28"/>
      <c r="N49" t="s">
        <v>34</v>
      </c>
    </row>
    <row r="50" spans="2:14" x14ac:dyDescent="0.25">
      <c r="B50" s="22" t="s">
        <v>253</v>
      </c>
    </row>
    <row r="51" spans="2:14" x14ac:dyDescent="0.25">
      <c r="B51" s="41"/>
      <c r="C51" s="64"/>
      <c r="D51" s="64"/>
      <c r="E51" s="64"/>
      <c r="F51" s="64"/>
      <c r="G51" s="64"/>
      <c r="H51" s="64"/>
      <c r="I51" s="64"/>
      <c r="J51" s="64"/>
      <c r="K51" s="64"/>
      <c r="L51" s="65"/>
    </row>
    <row r="52" spans="2:14" x14ac:dyDescent="0.25">
      <c r="B52" s="41" t="s">
        <v>154</v>
      </c>
      <c r="C52" s="41"/>
      <c r="D52" s="41"/>
      <c r="E52" s="41"/>
      <c r="F52" s="41"/>
      <c r="G52" s="41"/>
      <c r="H52" s="41"/>
      <c r="I52" s="41"/>
      <c r="J52" s="41"/>
      <c r="K52" s="41"/>
      <c r="N52" t="s">
        <v>34</v>
      </c>
    </row>
    <row r="53" spans="2:14" x14ac:dyDescent="0.25">
      <c r="B53" s="41" t="s">
        <v>155</v>
      </c>
      <c r="C53" s="41"/>
      <c r="D53" s="41"/>
      <c r="E53" s="41"/>
      <c r="F53" s="41"/>
      <c r="G53" s="41"/>
      <c r="H53" s="41"/>
      <c r="I53" s="41"/>
      <c r="J53" s="41"/>
      <c r="K53" s="41"/>
    </row>
    <row r="54" spans="2:14" x14ac:dyDescent="0.25">
      <c r="B54" s="22" t="s">
        <v>157</v>
      </c>
      <c r="C54" s="28"/>
      <c r="D54" s="28"/>
      <c r="E54" s="28"/>
      <c r="F54" s="28"/>
      <c r="G54" s="28"/>
      <c r="H54" s="29"/>
      <c r="I54" s="28"/>
      <c r="J54" s="41"/>
      <c r="K54" s="28"/>
    </row>
  </sheetData>
  <pageMargins left="0.7" right="0.7" top="0.75" bottom="0.75" header="0.3" footer="0.3"/>
  <pageSetup scale="59" orientation="landscape" verticalDpi="597" r:id="rId1"/>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pageSetUpPr fitToPage="1"/>
  </sheetPr>
  <dimension ref="A6:S60"/>
  <sheetViews>
    <sheetView zoomScale="90" zoomScaleNormal="90" workbookViewId="0"/>
  </sheetViews>
  <sheetFormatPr defaultRowHeight="15" x14ac:dyDescent="0.25"/>
  <cols>
    <col min="2" max="2" width="10.5703125"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40987</v>
      </c>
    </row>
    <row r="8" spans="1:15" x14ac:dyDescent="0.25">
      <c r="A8" s="28" t="s">
        <v>14</v>
      </c>
      <c r="B8" s="28">
        <v>23</v>
      </c>
      <c r="C8" s="28" t="s">
        <v>493</v>
      </c>
      <c r="D8" s="28"/>
      <c r="E8" s="28"/>
      <c r="F8" s="28"/>
      <c r="G8" s="28"/>
      <c r="H8" s="28"/>
      <c r="I8" s="29"/>
      <c r="J8" s="28"/>
      <c r="K8" s="28" t="s">
        <v>34</v>
      </c>
      <c r="L8" s="28" t="s">
        <v>34</v>
      </c>
      <c r="M8" s="28"/>
      <c r="N8" s="28"/>
      <c r="O8" s="28"/>
    </row>
    <row r="9" spans="1:15" x14ac:dyDescent="0.25">
      <c r="A9" s="28" t="s">
        <v>15</v>
      </c>
      <c r="B9" s="28">
        <v>10</v>
      </c>
      <c r="C9" s="28" t="s">
        <v>240</v>
      </c>
      <c r="D9" s="28"/>
      <c r="E9" s="28"/>
      <c r="F9" s="28"/>
      <c r="G9" s="28"/>
      <c r="H9" s="28"/>
      <c r="I9" s="29"/>
      <c r="J9" s="28"/>
      <c r="K9" s="28"/>
      <c r="L9" s="28"/>
      <c r="M9" s="28"/>
      <c r="N9" s="28"/>
      <c r="O9" s="28"/>
    </row>
    <row r="10" spans="1:15" x14ac:dyDescent="0.25">
      <c r="A10" s="28" t="s">
        <v>16</v>
      </c>
      <c r="B10" s="31">
        <v>2000</v>
      </c>
      <c r="C10" s="28" t="s">
        <v>710</v>
      </c>
      <c r="D10" s="28"/>
      <c r="E10" s="28"/>
      <c r="F10" s="28"/>
      <c r="G10" s="28"/>
      <c r="H10" s="28"/>
      <c r="I10" s="29" t="s">
        <v>34</v>
      </c>
      <c r="J10" s="28" t="s">
        <v>34</v>
      </c>
      <c r="K10" s="28" t="s">
        <v>34</v>
      </c>
      <c r="L10" s="28" t="s">
        <v>34</v>
      </c>
      <c r="M10" s="28" t="s">
        <v>34</v>
      </c>
      <c r="N10" s="28" t="s">
        <v>34</v>
      </c>
      <c r="O10" s="28"/>
    </row>
    <row r="11" spans="1:15" x14ac:dyDescent="0.25">
      <c r="A11" s="28"/>
      <c r="B11" s="238">
        <v>200000000</v>
      </c>
      <c r="C11" s="28" t="s">
        <v>706</v>
      </c>
      <c r="D11" s="28"/>
      <c r="E11" s="28"/>
      <c r="F11" s="28"/>
      <c r="G11" s="28"/>
      <c r="H11" s="28"/>
      <c r="I11" s="29"/>
      <c r="J11" s="28"/>
      <c r="K11" s="28" t="s">
        <v>34</v>
      </c>
      <c r="L11" s="28"/>
      <c r="M11" s="28"/>
      <c r="N11" s="28"/>
      <c r="O11" s="28" t="s">
        <v>34</v>
      </c>
    </row>
    <row r="12" spans="1:15" x14ac:dyDescent="0.25">
      <c r="A12" s="28"/>
      <c r="B12" s="31">
        <v>95</v>
      </c>
      <c r="C12" s="28" t="s">
        <v>707</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40"/>
      <c r="J13" s="28"/>
      <c r="K13" s="28"/>
      <c r="L13" s="28"/>
      <c r="M13" s="28"/>
      <c r="N13" s="28"/>
      <c r="O13" s="28"/>
    </row>
    <row r="14" spans="1:15" x14ac:dyDescent="0.25">
      <c r="A14" s="28"/>
      <c r="B14" s="31">
        <v>100</v>
      </c>
      <c r="C14" s="87" t="s">
        <v>696</v>
      </c>
      <c r="D14" s="28"/>
      <c r="E14" s="28"/>
      <c r="F14" s="28"/>
      <c r="G14" s="28"/>
      <c r="H14" s="28"/>
      <c r="I14" s="240"/>
      <c r="J14" s="28"/>
      <c r="K14" s="28"/>
      <c r="L14" s="28"/>
      <c r="M14" s="28"/>
      <c r="N14" s="28"/>
      <c r="O14" s="28"/>
    </row>
    <row r="15" spans="1:15" x14ac:dyDescent="0.25">
      <c r="A15" s="28"/>
      <c r="B15" s="31">
        <v>0</v>
      </c>
      <c r="C15" s="87" t="s">
        <v>698</v>
      </c>
      <c r="D15" s="28"/>
      <c r="E15" s="28"/>
      <c r="F15" s="28"/>
      <c r="G15" s="28"/>
      <c r="H15" s="28"/>
      <c r="I15" s="240"/>
      <c r="J15" s="28"/>
      <c r="K15" s="28"/>
      <c r="L15" s="28"/>
      <c r="M15" s="28"/>
      <c r="N15" s="28"/>
      <c r="O15" s="28"/>
    </row>
    <row r="16" spans="1:15" x14ac:dyDescent="0.25">
      <c r="A16" s="28"/>
      <c r="B16" s="232">
        <f>(B12*B13/100*1000)/(B10+B12-B14+B15)*1000</f>
        <v>2857.1428571428573</v>
      </c>
      <c r="C16" s="28" t="s">
        <v>700</v>
      </c>
      <c r="D16" s="28"/>
      <c r="E16" s="28"/>
      <c r="F16" s="28"/>
      <c r="G16" s="28"/>
      <c r="H16" s="28"/>
      <c r="I16" s="240"/>
      <c r="J16" s="28"/>
      <c r="K16" s="28"/>
      <c r="L16" s="28"/>
      <c r="M16" s="28"/>
      <c r="N16" s="28"/>
      <c r="O16" s="28"/>
    </row>
    <row r="17" spans="1:19" ht="15.75" thickBot="1" x14ac:dyDescent="0.3">
      <c r="A17" s="28"/>
      <c r="B17" s="28" t="s">
        <v>711</v>
      </c>
      <c r="C17" s="28"/>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24.1</v>
      </c>
      <c r="C19" s="23">
        <v>7.96</v>
      </c>
      <c r="D19" s="23">
        <v>8.19</v>
      </c>
      <c r="E19" s="23">
        <v>0.54</v>
      </c>
      <c r="F19" s="23">
        <v>0.51</v>
      </c>
      <c r="G19" s="23">
        <v>300</v>
      </c>
      <c r="H19" s="23">
        <v>6420</v>
      </c>
      <c r="I19" s="33">
        <v>12000000</v>
      </c>
      <c r="J19" s="23">
        <v>0</v>
      </c>
      <c r="K19" s="33">
        <v>46000000</v>
      </c>
      <c r="L19" s="23" t="s">
        <v>26</v>
      </c>
      <c r="M19" s="34"/>
      <c r="N19" s="34"/>
      <c r="O19" s="35"/>
      <c r="P19" s="233">
        <f>B$16*A19</f>
        <v>0</v>
      </c>
      <c r="Q19" s="233">
        <f>6/LINEST(J19:J23,P19:P23,FALSE)</f>
        <v>79009.708627555709</v>
      </c>
      <c r="R19" s="233">
        <f>Q19/3000</f>
        <v>26.336569542518568</v>
      </c>
      <c r="S19" s="233">
        <f>(J26/LINEST($J19:$J23,$P19:$P23,FALSE))/$B$16</f>
        <v>32.584920666481096</v>
      </c>
    </row>
    <row r="20" spans="1:19" ht="15.75" thickBot="1" x14ac:dyDescent="0.3">
      <c r="A20" s="32">
        <v>3</v>
      </c>
      <c r="B20" s="24">
        <v>24.2</v>
      </c>
      <c r="C20" s="24">
        <v>10.130000000000001</v>
      </c>
      <c r="D20" s="24">
        <v>10.97</v>
      </c>
      <c r="E20" s="24">
        <v>2600</v>
      </c>
      <c r="F20" s="24">
        <v>0.54</v>
      </c>
      <c r="G20" s="24">
        <v>230</v>
      </c>
      <c r="H20" s="24">
        <v>6580</v>
      </c>
      <c r="I20" s="33">
        <v>5500000</v>
      </c>
      <c r="J20" s="24">
        <v>0.34</v>
      </c>
      <c r="K20" s="33">
        <v>1500000</v>
      </c>
      <c r="L20" s="24">
        <v>1.49</v>
      </c>
      <c r="M20" s="35"/>
      <c r="N20" s="35"/>
      <c r="O20" s="35"/>
      <c r="P20" s="233">
        <f>B$16*A20</f>
        <v>8571.4285714285725</v>
      </c>
      <c r="Q20" s="228"/>
    </row>
    <row r="21" spans="1:19" ht="15.75" thickBot="1" x14ac:dyDescent="0.3">
      <c r="A21" s="32">
        <v>5</v>
      </c>
      <c r="B21" s="24">
        <v>24.2</v>
      </c>
      <c r="C21" s="24">
        <v>10.07</v>
      </c>
      <c r="D21" s="24">
        <v>10.88</v>
      </c>
      <c r="E21" s="24">
        <v>2900</v>
      </c>
      <c r="F21" s="24">
        <v>0.56999999999999995</v>
      </c>
      <c r="G21" s="24">
        <v>250</v>
      </c>
      <c r="H21" s="24"/>
      <c r="I21" s="33">
        <v>30000</v>
      </c>
      <c r="J21" s="24">
        <v>2.6</v>
      </c>
      <c r="K21" s="33">
        <v>400000</v>
      </c>
      <c r="L21" s="24">
        <v>2.06</v>
      </c>
      <c r="M21" s="35"/>
      <c r="N21" s="35"/>
      <c r="O21" s="35"/>
      <c r="P21" s="233">
        <f>B$16*A21</f>
        <v>14285.714285714286</v>
      </c>
      <c r="Q21" s="228"/>
    </row>
    <row r="22" spans="1:19" ht="15.75" thickBot="1" x14ac:dyDescent="0.3">
      <c r="A22" s="32">
        <v>15</v>
      </c>
      <c r="B22" s="24">
        <v>24.3</v>
      </c>
      <c r="C22" s="24">
        <v>9.86</v>
      </c>
      <c r="D22" s="24">
        <v>11</v>
      </c>
      <c r="E22" s="24">
        <v>2700</v>
      </c>
      <c r="F22" s="24">
        <v>0.4</v>
      </c>
      <c r="G22" s="24">
        <v>230</v>
      </c>
      <c r="H22" s="24"/>
      <c r="I22" s="33">
        <v>200</v>
      </c>
      <c r="J22" s="24">
        <v>4.7699999999999996</v>
      </c>
      <c r="K22" s="33">
        <v>4000</v>
      </c>
      <c r="L22" s="24">
        <v>4.0599999999999996</v>
      </c>
      <c r="M22" s="35"/>
      <c r="N22" s="35"/>
      <c r="O22" s="35"/>
      <c r="P22" s="233">
        <f>B$16*A22</f>
        <v>42857.142857142862</v>
      </c>
      <c r="Q22" s="228"/>
    </row>
    <row r="23" spans="1:19" ht="15.75" thickBot="1" x14ac:dyDescent="0.3">
      <c r="A23" s="32">
        <v>30</v>
      </c>
      <c r="B23" s="24">
        <v>24.4</v>
      </c>
      <c r="C23" s="24">
        <v>9.6</v>
      </c>
      <c r="D23" s="24">
        <v>10.98</v>
      </c>
      <c r="E23" s="24">
        <v>2700</v>
      </c>
      <c r="F23" s="24">
        <v>0.27</v>
      </c>
      <c r="G23" s="24">
        <v>220</v>
      </c>
      <c r="H23" s="24"/>
      <c r="I23" s="33">
        <v>35</v>
      </c>
      <c r="J23" s="24">
        <v>5.53</v>
      </c>
      <c r="K23" s="33">
        <v>0</v>
      </c>
      <c r="L23" s="24" t="s">
        <v>254</v>
      </c>
      <c r="M23" s="36"/>
      <c r="N23" s="36"/>
      <c r="O23" s="35"/>
      <c r="P23" s="233">
        <f>B$16*A23</f>
        <v>85714.285714285725</v>
      </c>
      <c r="Q23" s="228"/>
    </row>
    <row r="24" spans="1:19" ht="15.75" thickBot="1" x14ac:dyDescent="0.3">
      <c r="A24" s="32">
        <v>60</v>
      </c>
      <c r="B24" s="24">
        <v>24.6</v>
      </c>
      <c r="C24" s="24">
        <v>9.56</v>
      </c>
      <c r="D24" s="24">
        <v>11.09</v>
      </c>
      <c r="E24" s="24">
        <v>2700</v>
      </c>
      <c r="F24" s="58">
        <v>0.31</v>
      </c>
      <c r="G24" s="24">
        <v>220</v>
      </c>
      <c r="H24" s="24">
        <v>6410</v>
      </c>
      <c r="I24" s="33">
        <v>0</v>
      </c>
      <c r="J24" s="24" t="s">
        <v>255</v>
      </c>
      <c r="K24" s="33">
        <v>0</v>
      </c>
      <c r="L24" s="24" t="s">
        <v>254</v>
      </c>
      <c r="M24" s="60" t="s">
        <v>256</v>
      </c>
      <c r="N24" s="36">
        <v>7435</v>
      </c>
      <c r="O24" s="27">
        <v>2400</v>
      </c>
      <c r="P24" s="233"/>
      <c r="Q24" s="228"/>
    </row>
    <row r="25" spans="1:19" ht="15.75" thickBot="1" x14ac:dyDescent="0.3">
      <c r="A25" s="86" t="s">
        <v>242</v>
      </c>
      <c r="B25" s="36">
        <v>24.6</v>
      </c>
      <c r="C25" s="36">
        <v>9.56</v>
      </c>
      <c r="D25" s="36">
        <v>11.16</v>
      </c>
      <c r="E25" s="36">
        <v>2800</v>
      </c>
      <c r="F25" s="36">
        <v>0.35</v>
      </c>
      <c r="G25" s="36">
        <v>210</v>
      </c>
      <c r="H25" s="36">
        <v>6610</v>
      </c>
      <c r="I25" s="33">
        <v>0</v>
      </c>
      <c r="J25" s="24" t="s">
        <v>255</v>
      </c>
      <c r="K25" s="33">
        <v>0</v>
      </c>
      <c r="L25" s="24" t="s">
        <v>254</v>
      </c>
      <c r="M25" s="60" t="s">
        <v>257</v>
      </c>
      <c r="N25" s="36">
        <v>8332</v>
      </c>
      <c r="O25" s="35"/>
      <c r="P25" s="233"/>
      <c r="Q25" s="228"/>
    </row>
    <row r="26" spans="1:19" x14ac:dyDescent="0.25">
      <c r="B26">
        <f>AVERAGE(B20:B23)</f>
        <v>24.274999999999999</v>
      </c>
      <c r="C26">
        <f>AVERAGE(C20:C23)</f>
        <v>9.9150000000000009</v>
      </c>
      <c r="J26" s="320">
        <v>7.07</v>
      </c>
      <c r="N26" s="28"/>
      <c r="O26" s="28"/>
    </row>
    <row r="27" spans="1:19" x14ac:dyDescent="0.25">
      <c r="A27" s="28" t="s">
        <v>140</v>
      </c>
      <c r="B27" s="28"/>
      <c r="C27" s="28"/>
      <c r="D27" s="28"/>
      <c r="E27" s="28"/>
      <c r="F27" s="28"/>
      <c r="G27" s="28"/>
      <c r="H27" s="28"/>
      <c r="I27" s="29"/>
      <c r="J27" s="28"/>
      <c r="K27" s="28"/>
      <c r="L27" s="28"/>
      <c r="M27" s="28"/>
      <c r="N27" s="28"/>
      <c r="O27" s="28"/>
    </row>
    <row r="28" spans="1:19" x14ac:dyDescent="0.25">
      <c r="A28" s="28"/>
      <c r="B28" s="28" t="s">
        <v>141</v>
      </c>
      <c r="C28" s="28"/>
      <c r="D28" s="28"/>
      <c r="E28" s="28"/>
      <c r="F28" s="28"/>
      <c r="G28" s="28"/>
      <c r="H28" s="28"/>
      <c r="I28" s="29"/>
      <c r="J28" s="28"/>
      <c r="K28" s="28"/>
      <c r="L28" s="28"/>
      <c r="M28" s="28"/>
      <c r="N28" s="28" t="s">
        <v>34</v>
      </c>
      <c r="O28" s="28"/>
    </row>
    <row r="29" spans="1:19" x14ac:dyDescent="0.25">
      <c r="A29" s="28" t="s">
        <v>272</v>
      </c>
      <c r="B29" s="28"/>
      <c r="C29" s="28"/>
      <c r="D29" s="28"/>
      <c r="E29" s="28"/>
      <c r="F29" s="28"/>
      <c r="G29" s="28"/>
      <c r="H29" s="28"/>
      <c r="I29" s="29"/>
      <c r="J29" s="28"/>
      <c r="K29" s="28"/>
      <c r="L29" s="28" t="s">
        <v>34</v>
      </c>
      <c r="M29" s="28"/>
      <c r="N29" s="28"/>
      <c r="O29" s="28"/>
    </row>
    <row r="30" spans="1:19" x14ac:dyDescent="0.25">
      <c r="A30" s="59" t="s">
        <v>274</v>
      </c>
      <c r="F30" s="28"/>
      <c r="G30" s="28"/>
      <c r="H30" s="28"/>
      <c r="I30" s="29"/>
      <c r="J30" s="28"/>
      <c r="K30" s="28" t="s">
        <v>34</v>
      </c>
      <c r="L30" s="28" t="s">
        <v>34</v>
      </c>
      <c r="M30" s="28" t="s">
        <v>34</v>
      </c>
      <c r="N30" s="28"/>
      <c r="O30" s="28"/>
    </row>
    <row r="31" spans="1:19" x14ac:dyDescent="0.25">
      <c r="A31" s="59"/>
      <c r="F31" s="28"/>
      <c r="G31" s="28"/>
      <c r="H31" s="28"/>
      <c r="I31" s="29"/>
      <c r="J31" s="28"/>
      <c r="K31" s="28"/>
      <c r="L31" s="28"/>
      <c r="M31" s="28"/>
      <c r="N31" s="28"/>
      <c r="O31" s="28"/>
    </row>
    <row r="32" spans="1:19" x14ac:dyDescent="0.25">
      <c r="A32" s="19" t="s">
        <v>28</v>
      </c>
      <c r="B32" s="28"/>
      <c r="C32" s="28"/>
      <c r="D32" s="28"/>
      <c r="E32" s="28"/>
      <c r="F32" s="28"/>
      <c r="G32" s="28"/>
      <c r="H32" s="28"/>
      <c r="I32" s="29"/>
      <c r="J32" s="28"/>
      <c r="K32" s="28" t="s">
        <v>34</v>
      </c>
      <c r="L32" s="28" t="s">
        <v>34</v>
      </c>
      <c r="M32" s="28" t="s">
        <v>34</v>
      </c>
      <c r="N32" s="28"/>
      <c r="O32" s="28"/>
    </row>
    <row r="33" spans="1:15" x14ac:dyDescent="0.25">
      <c r="A33" s="28"/>
      <c r="B33" s="22"/>
      <c r="C33" s="28"/>
      <c r="D33" s="28"/>
      <c r="E33" s="28"/>
      <c r="F33" s="28"/>
      <c r="G33" s="28"/>
      <c r="H33" s="28"/>
      <c r="I33" s="29"/>
      <c r="J33" s="28"/>
      <c r="K33" s="28"/>
      <c r="L33" s="28" t="s">
        <v>34</v>
      </c>
      <c r="M33" s="28" t="s">
        <v>34</v>
      </c>
      <c r="N33" s="28"/>
      <c r="O33" s="28"/>
    </row>
    <row r="34" spans="1:15" x14ac:dyDescent="0.25">
      <c r="A34" s="28"/>
      <c r="B34" s="41" t="s">
        <v>277</v>
      </c>
      <c r="C34" s="41"/>
      <c r="D34" s="41"/>
      <c r="E34" s="41"/>
      <c r="F34" s="41"/>
      <c r="G34" s="41"/>
      <c r="H34" s="41"/>
      <c r="I34" s="41"/>
      <c r="J34" s="41"/>
      <c r="K34" s="41"/>
      <c r="L34" s="41" t="s">
        <v>34</v>
      </c>
      <c r="M34" s="28"/>
      <c r="N34" s="28"/>
      <c r="O34" s="28"/>
    </row>
    <row r="35" spans="1:15" x14ac:dyDescent="0.25">
      <c r="A35" s="28"/>
      <c r="B35" s="41"/>
      <c r="C35" s="41"/>
      <c r="D35" s="41"/>
      <c r="E35" s="41"/>
      <c r="F35" s="41"/>
      <c r="G35" s="41"/>
      <c r="H35" s="41"/>
      <c r="I35" s="41"/>
      <c r="J35" s="41"/>
      <c r="K35" s="41"/>
      <c r="L35" s="41"/>
      <c r="M35" s="28"/>
      <c r="N35" s="28"/>
      <c r="O35" s="28"/>
    </row>
    <row r="36" spans="1:15" x14ac:dyDescent="0.25">
      <c r="A36" s="28"/>
      <c r="B36" s="22" t="s">
        <v>146</v>
      </c>
      <c r="C36" s="28"/>
      <c r="D36" s="28"/>
      <c r="E36" s="28"/>
      <c r="F36" s="28"/>
      <c r="G36" s="28"/>
      <c r="H36" s="28"/>
      <c r="I36" s="29"/>
      <c r="J36" s="28"/>
      <c r="K36" s="28"/>
      <c r="L36" s="28"/>
      <c r="M36" s="28" t="s">
        <v>34</v>
      </c>
      <c r="N36" s="28"/>
      <c r="O36" s="28"/>
    </row>
    <row r="37" spans="1:15" x14ac:dyDescent="0.25">
      <c r="A37" s="28"/>
      <c r="B37" s="41" t="s">
        <v>283</v>
      </c>
      <c r="C37" s="41"/>
      <c r="D37" s="41"/>
      <c r="E37" s="41"/>
      <c r="F37" s="41"/>
      <c r="G37" s="41"/>
      <c r="H37" s="41"/>
      <c r="I37" s="41"/>
      <c r="J37" s="41"/>
      <c r="K37" s="41"/>
      <c r="L37" s="41"/>
      <c r="M37" s="28"/>
      <c r="N37" s="28"/>
      <c r="O37" s="28"/>
    </row>
    <row r="38" spans="1:15" x14ac:dyDescent="0.25">
      <c r="A38" s="28"/>
      <c r="B38" s="41" t="s">
        <v>284</v>
      </c>
      <c r="C38" s="41"/>
      <c r="D38" s="41"/>
      <c r="E38" s="41"/>
      <c r="F38" s="41"/>
      <c r="G38" s="41"/>
      <c r="H38" s="41"/>
      <c r="I38" s="41"/>
      <c r="J38" s="41"/>
      <c r="K38" s="41"/>
      <c r="L38" s="41"/>
      <c r="M38" s="28"/>
      <c r="N38" s="28"/>
      <c r="O38" s="28"/>
    </row>
    <row r="39" spans="1:15" x14ac:dyDescent="0.25">
      <c r="A39" s="28"/>
      <c r="B39" s="69" t="s">
        <v>156</v>
      </c>
      <c r="C39" s="87"/>
      <c r="D39" s="87"/>
      <c r="E39" s="87"/>
      <c r="F39" s="87"/>
      <c r="G39" s="87"/>
      <c r="H39" s="87"/>
      <c r="I39" s="88"/>
      <c r="J39" s="87"/>
      <c r="K39" s="87"/>
      <c r="L39" s="28"/>
      <c r="M39" s="28"/>
      <c r="N39" s="28"/>
      <c r="O39" s="28"/>
    </row>
    <row r="40" spans="1:15" x14ac:dyDescent="0.25">
      <c r="A40" s="28"/>
      <c r="B40" s="41" t="s">
        <v>258</v>
      </c>
      <c r="N40" s="28"/>
      <c r="O40" s="28"/>
    </row>
    <row r="41" spans="1:15" x14ac:dyDescent="0.25">
      <c r="A41" s="28"/>
      <c r="B41" s="41" t="s">
        <v>292</v>
      </c>
      <c r="N41" s="28"/>
      <c r="O41" s="28"/>
    </row>
    <row r="42" spans="1:15" x14ac:dyDescent="0.25">
      <c r="A42" s="28"/>
      <c r="B42" s="41" t="s">
        <v>285</v>
      </c>
      <c r="N42" s="28"/>
      <c r="O42" s="28" t="s">
        <v>34</v>
      </c>
    </row>
    <row r="43" spans="1:15" x14ac:dyDescent="0.25">
      <c r="A43" s="28"/>
      <c r="B43" s="75" t="s">
        <v>36</v>
      </c>
      <c r="C43" s="28"/>
      <c r="D43" s="28"/>
      <c r="E43" s="28"/>
      <c r="F43" s="28"/>
      <c r="G43" s="28"/>
      <c r="H43" s="28"/>
      <c r="I43" s="29"/>
      <c r="J43" s="28"/>
      <c r="K43" s="28"/>
      <c r="M43" s="28"/>
      <c r="N43" s="28"/>
      <c r="O43" s="28"/>
    </row>
    <row r="44" spans="1:15" x14ac:dyDescent="0.25">
      <c r="B44" s="22" t="s">
        <v>133</v>
      </c>
      <c r="L44" s="28"/>
      <c r="M44" s="28"/>
      <c r="N44" s="28"/>
      <c r="O44" s="28"/>
    </row>
    <row r="45" spans="1:15" x14ac:dyDescent="0.25">
      <c r="B45" s="22" t="s">
        <v>286</v>
      </c>
      <c r="L45" s="28"/>
    </row>
    <row r="46" spans="1:15" x14ac:dyDescent="0.25">
      <c r="B46" s="22" t="s">
        <v>293</v>
      </c>
      <c r="L46" s="28"/>
    </row>
    <row r="47" spans="1:15" x14ac:dyDescent="0.25">
      <c r="B47" s="22" t="s">
        <v>296</v>
      </c>
      <c r="O47" t="s">
        <v>34</v>
      </c>
    </row>
    <row r="48" spans="1:15" x14ac:dyDescent="0.25">
      <c r="N48" t="s">
        <v>34</v>
      </c>
    </row>
    <row r="49" spans="1:17" x14ac:dyDescent="0.25">
      <c r="B49" s="41" t="s">
        <v>280</v>
      </c>
      <c r="C49" s="64"/>
      <c r="D49" s="64"/>
      <c r="E49" s="64"/>
      <c r="F49" s="64"/>
      <c r="G49" s="64"/>
      <c r="H49" s="64"/>
      <c r="I49" s="64"/>
      <c r="J49" s="64"/>
      <c r="K49" s="64"/>
      <c r="L49" s="65"/>
    </row>
    <row r="50" spans="1:17" x14ac:dyDescent="0.25">
      <c r="B50" s="22" t="s">
        <v>287</v>
      </c>
    </row>
    <row r="51" spans="1:17" x14ac:dyDescent="0.25">
      <c r="B51" s="22" t="s">
        <v>282</v>
      </c>
      <c r="C51" s="28"/>
      <c r="D51" s="28"/>
      <c r="E51" s="28"/>
      <c r="F51" s="28"/>
      <c r="G51" s="28"/>
      <c r="H51" s="28"/>
      <c r="I51" s="29"/>
      <c r="J51" s="28"/>
      <c r="N51" t="s">
        <v>34</v>
      </c>
    </row>
    <row r="52" spans="1:17" x14ac:dyDescent="0.25">
      <c r="B52" s="22" t="s">
        <v>253</v>
      </c>
    </row>
    <row r="53" spans="1:17" x14ac:dyDescent="0.25">
      <c r="B53" s="41"/>
      <c r="C53" s="64"/>
      <c r="D53" s="64"/>
      <c r="E53" s="64"/>
      <c r="F53" s="64"/>
      <c r="G53" s="64"/>
      <c r="H53" s="64"/>
      <c r="I53" s="64"/>
      <c r="J53" s="64"/>
      <c r="K53" s="64"/>
      <c r="L53" s="65"/>
    </row>
    <row r="54" spans="1:17" x14ac:dyDescent="0.25">
      <c r="B54" s="41" t="s">
        <v>154</v>
      </c>
      <c r="C54" s="41"/>
      <c r="D54" s="41"/>
      <c r="E54" s="41"/>
      <c r="F54" s="41"/>
      <c r="G54" s="41"/>
      <c r="H54" s="41"/>
      <c r="I54" s="41"/>
      <c r="J54" s="41"/>
      <c r="K54" s="41"/>
    </row>
    <row r="55" spans="1:17" x14ac:dyDescent="0.25">
      <c r="B55" s="41" t="s">
        <v>155</v>
      </c>
      <c r="C55" s="41"/>
      <c r="D55" s="41"/>
      <c r="E55" s="41"/>
      <c r="F55" s="41"/>
      <c r="G55" s="41"/>
      <c r="H55" s="41"/>
      <c r="I55" s="41"/>
      <c r="J55" s="41"/>
      <c r="K55" s="41"/>
    </row>
    <row r="56" spans="1:17" x14ac:dyDescent="0.25">
      <c r="B56" s="22" t="s">
        <v>157</v>
      </c>
      <c r="C56" s="28"/>
      <c r="D56" s="28"/>
      <c r="E56" s="28"/>
      <c r="F56" s="28"/>
      <c r="G56" s="28"/>
      <c r="H56" s="29"/>
      <c r="I56" s="28"/>
      <c r="J56" s="41"/>
      <c r="K56" s="28"/>
    </row>
    <row r="59" spans="1:17" ht="15.75" thickBot="1" x14ac:dyDescent="0.3"/>
    <row r="60" spans="1:17" ht="15.75" thickBot="1" x14ac:dyDescent="0.3">
      <c r="A60" s="32">
        <v>10</v>
      </c>
      <c r="B60" s="24">
        <v>24.2</v>
      </c>
      <c r="C60" s="24">
        <v>9.92</v>
      </c>
      <c r="D60" s="24">
        <v>10.97</v>
      </c>
      <c r="E60" s="24">
        <v>2900</v>
      </c>
      <c r="F60" s="24">
        <v>0.44</v>
      </c>
      <c r="G60" s="24">
        <v>210</v>
      </c>
      <c r="H60" s="24"/>
      <c r="I60" s="33" t="s">
        <v>35</v>
      </c>
      <c r="J60" s="24"/>
      <c r="K60" s="33" t="s">
        <v>35</v>
      </c>
      <c r="L60" s="24" t="s">
        <v>35</v>
      </c>
      <c r="M60" s="35"/>
      <c r="N60" s="35"/>
      <c r="O60" s="35"/>
      <c r="P60" s="233">
        <f>B$16*A60</f>
        <v>28571.428571428572</v>
      </c>
      <c r="Q60" s="228"/>
    </row>
  </sheetData>
  <pageMargins left="0.7" right="0.7" top="0.75" bottom="0.75" header="0.3" footer="0.3"/>
  <pageSetup scale="53" orientation="landscape" verticalDpi="597" r:id="rId1"/>
  <drawing r:id="rId2"/>
  <legacyDrawing r:id="rId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pageSetUpPr fitToPage="1"/>
  </sheetPr>
  <dimension ref="A6:S57"/>
  <sheetViews>
    <sheetView zoomScale="90" zoomScaleNormal="90" workbookViewId="0"/>
  </sheetViews>
  <sheetFormatPr defaultRowHeight="15" x14ac:dyDescent="0.25"/>
  <cols>
    <col min="2" max="2" width="10.7109375"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40988</v>
      </c>
    </row>
    <row r="8" spans="1:15" x14ac:dyDescent="0.25">
      <c r="A8" s="28" t="s">
        <v>14</v>
      </c>
      <c r="B8" s="28">
        <v>24</v>
      </c>
      <c r="C8" s="28" t="s">
        <v>494</v>
      </c>
      <c r="D8" s="28"/>
      <c r="E8" s="28"/>
      <c r="F8" s="28"/>
      <c r="G8" s="28"/>
      <c r="H8" s="28"/>
      <c r="I8" s="29"/>
      <c r="J8" s="28"/>
      <c r="K8" s="28" t="s">
        <v>34</v>
      </c>
      <c r="L8" s="28" t="s">
        <v>34</v>
      </c>
      <c r="M8" s="28"/>
      <c r="N8" s="28"/>
      <c r="O8" s="28"/>
    </row>
    <row r="9" spans="1:15" x14ac:dyDescent="0.25">
      <c r="A9" s="28" t="s">
        <v>15</v>
      </c>
      <c r="B9" s="28">
        <v>10</v>
      </c>
      <c r="C9" s="28" t="s">
        <v>240</v>
      </c>
      <c r="D9" s="28"/>
      <c r="E9" s="28"/>
      <c r="F9" s="28"/>
      <c r="G9" s="28"/>
      <c r="H9" s="28"/>
      <c r="I9" s="29"/>
      <c r="J9" s="28"/>
      <c r="K9" s="28"/>
      <c r="L9" s="28"/>
      <c r="M9" s="28"/>
      <c r="N9" s="28"/>
      <c r="O9" s="28"/>
    </row>
    <row r="10" spans="1:15" x14ac:dyDescent="0.25">
      <c r="A10" s="28" t="s">
        <v>16</v>
      </c>
      <c r="B10" s="31">
        <v>2000</v>
      </c>
      <c r="C10" s="28" t="s">
        <v>710</v>
      </c>
      <c r="D10" s="28"/>
      <c r="E10" s="28"/>
      <c r="F10" s="28"/>
      <c r="G10" s="28"/>
      <c r="H10" s="28"/>
      <c r="I10" s="29" t="s">
        <v>34</v>
      </c>
      <c r="J10" s="28" t="s">
        <v>34</v>
      </c>
      <c r="K10" s="28" t="s">
        <v>34</v>
      </c>
      <c r="L10" s="28" t="s">
        <v>34</v>
      </c>
      <c r="M10" s="28" t="s">
        <v>34</v>
      </c>
      <c r="N10" s="28" t="s">
        <v>34</v>
      </c>
      <c r="O10" s="28"/>
    </row>
    <row r="11" spans="1:15" x14ac:dyDescent="0.25">
      <c r="A11" s="28"/>
      <c r="B11" s="238">
        <v>200000000</v>
      </c>
      <c r="C11" s="28" t="s">
        <v>706</v>
      </c>
      <c r="D11" s="28"/>
      <c r="E11" s="28"/>
      <c r="F11" s="28"/>
      <c r="G11" s="28"/>
      <c r="H11" s="28"/>
      <c r="I11" s="29"/>
      <c r="J11" s="28"/>
      <c r="K11" s="28" t="s">
        <v>34</v>
      </c>
      <c r="L11" s="28"/>
      <c r="M11" s="28"/>
      <c r="N11" s="28"/>
      <c r="O11" s="28" t="s">
        <v>34</v>
      </c>
    </row>
    <row r="12" spans="1:15" x14ac:dyDescent="0.25">
      <c r="A12" s="28"/>
      <c r="B12" s="31">
        <v>95</v>
      </c>
      <c r="C12" s="28" t="s">
        <v>707</v>
      </c>
      <c r="D12" s="28"/>
      <c r="E12" s="28"/>
      <c r="F12" s="28"/>
      <c r="G12" s="28"/>
      <c r="H12" s="28"/>
      <c r="I12" s="29"/>
      <c r="J12" s="28"/>
      <c r="K12" s="28"/>
      <c r="L12" s="28"/>
      <c r="M12" s="28"/>
      <c r="N12" s="28"/>
      <c r="O12" s="28"/>
    </row>
    <row r="13" spans="1:15" x14ac:dyDescent="0.25">
      <c r="A13" s="28"/>
      <c r="B13" s="31">
        <v>6</v>
      </c>
      <c r="C13" s="28" t="s">
        <v>697</v>
      </c>
      <c r="D13" s="28"/>
      <c r="E13" s="28"/>
      <c r="F13" s="28"/>
      <c r="G13" s="28"/>
      <c r="H13" s="28"/>
      <c r="I13" s="240"/>
      <c r="J13" s="28"/>
      <c r="K13" s="28"/>
      <c r="L13" s="28"/>
      <c r="M13" s="28"/>
      <c r="N13" s="28"/>
      <c r="O13" s="28"/>
    </row>
    <row r="14" spans="1:15" x14ac:dyDescent="0.25">
      <c r="A14" s="28"/>
      <c r="B14" s="31">
        <v>100</v>
      </c>
      <c r="C14" s="87" t="s">
        <v>696</v>
      </c>
      <c r="D14" s="28"/>
      <c r="E14" s="28"/>
      <c r="F14" s="28"/>
      <c r="G14" s="28"/>
      <c r="H14" s="28"/>
      <c r="I14" s="240"/>
      <c r="J14" s="28"/>
      <c r="K14" s="28"/>
      <c r="L14" s="28"/>
      <c r="M14" s="28"/>
      <c r="N14" s="28"/>
      <c r="O14" s="28"/>
    </row>
    <row r="15" spans="1:15" x14ac:dyDescent="0.25">
      <c r="A15" s="28"/>
      <c r="B15" s="31">
        <v>0</v>
      </c>
      <c r="C15" s="87" t="s">
        <v>698</v>
      </c>
      <c r="D15" s="28"/>
      <c r="E15" s="28"/>
      <c r="F15" s="28"/>
      <c r="G15" s="28"/>
      <c r="H15" s="28"/>
      <c r="I15" s="240"/>
      <c r="J15" s="28"/>
      <c r="K15" s="28"/>
      <c r="L15" s="28"/>
      <c r="M15" s="28"/>
      <c r="N15" s="28"/>
      <c r="O15" s="28"/>
    </row>
    <row r="16" spans="1:15" x14ac:dyDescent="0.25">
      <c r="A16" s="28"/>
      <c r="B16" s="232">
        <f>(B12*B13/100*1000)/(B10+65-B14+B15)*1000</f>
        <v>2900.7633587786258</v>
      </c>
      <c r="C16" s="28" t="s">
        <v>700</v>
      </c>
      <c r="D16" s="28"/>
      <c r="E16" s="28"/>
      <c r="F16" s="28"/>
      <c r="G16" s="28"/>
      <c r="H16" s="28"/>
      <c r="I16" s="240"/>
      <c r="J16" s="28"/>
      <c r="K16" s="28"/>
      <c r="L16" s="28"/>
      <c r="M16" s="28"/>
      <c r="N16" s="28"/>
      <c r="O16" s="28"/>
    </row>
    <row r="17" spans="1:19" ht="15.75" thickBot="1" x14ac:dyDescent="0.3">
      <c r="A17" s="28"/>
      <c r="B17" s="28"/>
      <c r="C17" s="28"/>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22.1</v>
      </c>
      <c r="C19" s="23">
        <v>8.1199999999999992</v>
      </c>
      <c r="D19" s="23">
        <v>7.91</v>
      </c>
      <c r="E19" s="23">
        <v>0.54</v>
      </c>
      <c r="F19" s="23">
        <v>0.51</v>
      </c>
      <c r="G19" s="23">
        <v>240</v>
      </c>
      <c r="H19" s="23">
        <v>6740</v>
      </c>
      <c r="I19" s="33">
        <v>10000000</v>
      </c>
      <c r="J19" s="23">
        <v>0</v>
      </c>
      <c r="K19" s="33">
        <v>74000000</v>
      </c>
      <c r="L19" s="23" t="s">
        <v>26</v>
      </c>
      <c r="M19" s="34"/>
      <c r="N19" s="34"/>
      <c r="O19" s="35"/>
      <c r="P19" s="233">
        <f t="shared" ref="P19:P24" si="0">B$16*A19</f>
        <v>0</v>
      </c>
      <c r="Q19" s="233">
        <f>6/LINEST(J19:J24,P19:P24,FALSE)</f>
        <v>85823.149037340365</v>
      </c>
      <c r="R19" s="233">
        <f>Q19/3000</f>
        <v>28.607716345780123</v>
      </c>
      <c r="S19" s="233">
        <f>(J27/LINEST($J19:$J24,$P19:$P24,FALSE))/$B$16</f>
        <v>34.517468275105756</v>
      </c>
    </row>
    <row r="20" spans="1:19" ht="15.75" thickBot="1" x14ac:dyDescent="0.3">
      <c r="A20" s="32">
        <v>3</v>
      </c>
      <c r="B20" s="24">
        <v>21.7</v>
      </c>
      <c r="C20" s="24">
        <v>9.81</v>
      </c>
      <c r="D20" s="24">
        <v>10.89</v>
      </c>
      <c r="E20" s="24">
        <v>2300</v>
      </c>
      <c r="F20" s="24">
        <v>0.61</v>
      </c>
      <c r="G20" s="24">
        <v>220</v>
      </c>
      <c r="H20" s="24">
        <v>6820</v>
      </c>
      <c r="I20" s="33">
        <v>5800000</v>
      </c>
      <c r="J20" s="24">
        <v>0.24</v>
      </c>
      <c r="K20" s="33">
        <v>8600000</v>
      </c>
      <c r="L20" s="24">
        <v>0.94</v>
      </c>
      <c r="M20" s="35"/>
      <c r="N20" s="35"/>
      <c r="O20" s="35"/>
      <c r="P20" s="233">
        <f t="shared" si="0"/>
        <v>8702.2900763358775</v>
      </c>
      <c r="Q20" s="228"/>
    </row>
    <row r="21" spans="1:19" ht="15.75" thickBot="1" x14ac:dyDescent="0.3">
      <c r="A21" s="32">
        <v>5</v>
      </c>
      <c r="B21" s="24">
        <v>21.6</v>
      </c>
      <c r="C21" s="24">
        <v>9.8000000000000007</v>
      </c>
      <c r="D21" s="24">
        <v>10.96</v>
      </c>
      <c r="E21" s="24">
        <v>2800</v>
      </c>
      <c r="F21" s="24">
        <v>0.55000000000000004</v>
      </c>
      <c r="G21" s="24">
        <v>220</v>
      </c>
      <c r="H21" s="24"/>
      <c r="I21" s="33">
        <v>1300000</v>
      </c>
      <c r="J21" s="24">
        <v>0.89</v>
      </c>
      <c r="K21" s="33">
        <v>1500000</v>
      </c>
      <c r="L21" s="24">
        <v>1.69</v>
      </c>
      <c r="M21" s="35"/>
      <c r="N21" s="35"/>
      <c r="O21" s="35"/>
      <c r="P21" s="233">
        <f t="shared" si="0"/>
        <v>14503.816793893129</v>
      </c>
      <c r="Q21" s="228"/>
    </row>
    <row r="22" spans="1:19" ht="15.75" thickBot="1" x14ac:dyDescent="0.3">
      <c r="A22" s="32">
        <v>10</v>
      </c>
      <c r="B22" s="24">
        <v>21.6</v>
      </c>
      <c r="C22" s="24">
        <v>9.77</v>
      </c>
      <c r="D22" s="24">
        <v>10.96</v>
      </c>
      <c r="E22" s="24">
        <v>2800</v>
      </c>
      <c r="F22" s="24">
        <v>0.49</v>
      </c>
      <c r="G22" s="24">
        <v>220</v>
      </c>
      <c r="H22" s="24"/>
      <c r="I22" s="33">
        <v>26000</v>
      </c>
      <c r="J22" s="24">
        <v>2.59</v>
      </c>
      <c r="K22" s="33">
        <v>50000</v>
      </c>
      <c r="L22" s="24">
        <v>3.17</v>
      </c>
      <c r="M22" s="35"/>
      <c r="N22" s="35"/>
      <c r="O22" s="35"/>
      <c r="P22" s="233">
        <f t="shared" si="0"/>
        <v>29007.633587786258</v>
      </c>
      <c r="Q22" s="228"/>
    </row>
    <row r="23" spans="1:19" ht="15.75" thickBot="1" x14ac:dyDescent="0.3">
      <c r="A23" s="32">
        <v>15</v>
      </c>
      <c r="B23" s="24">
        <v>21.7</v>
      </c>
      <c r="C23" s="24">
        <v>9.74</v>
      </c>
      <c r="D23" s="24">
        <v>10.88</v>
      </c>
      <c r="E23" s="24">
        <v>2500</v>
      </c>
      <c r="F23" s="24">
        <v>0.28000000000000003</v>
      </c>
      <c r="G23" s="24">
        <v>220</v>
      </c>
      <c r="H23" s="24"/>
      <c r="I23" s="33">
        <v>2800</v>
      </c>
      <c r="J23" s="24">
        <v>3.55</v>
      </c>
      <c r="K23" s="33">
        <v>6000</v>
      </c>
      <c r="L23" s="24">
        <v>4.09</v>
      </c>
      <c r="M23" s="35"/>
      <c r="N23" s="35"/>
      <c r="O23" s="35"/>
      <c r="P23" s="233">
        <f t="shared" si="0"/>
        <v>43511.450381679388</v>
      </c>
      <c r="Q23" s="228"/>
    </row>
    <row r="24" spans="1:19" ht="15.75" thickBot="1" x14ac:dyDescent="0.3">
      <c r="A24" s="32">
        <v>30</v>
      </c>
      <c r="B24" s="24">
        <v>22.1</v>
      </c>
      <c r="C24" s="24">
        <v>9.6999999999999993</v>
      </c>
      <c r="D24" s="24">
        <v>10.81</v>
      </c>
      <c r="E24" s="24">
        <v>2600</v>
      </c>
      <c r="F24" s="24">
        <v>0.21</v>
      </c>
      <c r="G24" s="24">
        <v>210</v>
      </c>
      <c r="H24" s="24"/>
      <c r="I24" s="33">
        <v>20</v>
      </c>
      <c r="J24" s="24">
        <v>5.7</v>
      </c>
      <c r="K24" s="33">
        <v>0</v>
      </c>
      <c r="L24" s="24" t="s">
        <v>196</v>
      </c>
      <c r="M24" s="36"/>
      <c r="N24" s="36"/>
      <c r="O24" s="35"/>
      <c r="P24" s="233">
        <f t="shared" si="0"/>
        <v>87022.900763358775</v>
      </c>
      <c r="Q24" s="228"/>
    </row>
    <row r="25" spans="1:19" ht="15.75" thickBot="1" x14ac:dyDescent="0.3">
      <c r="A25" s="32">
        <v>60</v>
      </c>
      <c r="B25" s="24">
        <v>23</v>
      </c>
      <c r="C25" s="24">
        <v>9.6300000000000008</v>
      </c>
      <c r="D25" s="24">
        <v>10.91</v>
      </c>
      <c r="E25" s="24">
        <v>2700</v>
      </c>
      <c r="F25" s="58">
        <v>0.34</v>
      </c>
      <c r="G25" s="24">
        <v>200</v>
      </c>
      <c r="H25" s="24">
        <v>7076</v>
      </c>
      <c r="I25" s="33">
        <v>0</v>
      </c>
      <c r="J25" s="24" t="s">
        <v>259</v>
      </c>
      <c r="K25" s="33">
        <v>0</v>
      </c>
      <c r="L25" s="24" t="s">
        <v>196</v>
      </c>
      <c r="M25" s="36">
        <v>324</v>
      </c>
      <c r="N25" s="36">
        <v>9061</v>
      </c>
      <c r="O25" s="89" t="s">
        <v>35</v>
      </c>
      <c r="P25" s="233"/>
      <c r="Q25" s="228"/>
    </row>
    <row r="26" spans="1:19" ht="15.75" thickBot="1" x14ac:dyDescent="0.3">
      <c r="A26" s="86" t="s">
        <v>242</v>
      </c>
      <c r="B26" s="36">
        <v>23.1</v>
      </c>
      <c r="C26" s="36">
        <v>9.6300000000000008</v>
      </c>
      <c r="D26" s="36">
        <v>10.9</v>
      </c>
      <c r="E26" s="36">
        <v>2700</v>
      </c>
      <c r="F26" s="36">
        <v>0.26</v>
      </c>
      <c r="G26" s="36">
        <v>220</v>
      </c>
      <c r="H26" s="36">
        <v>7010</v>
      </c>
      <c r="I26" s="33">
        <v>0</v>
      </c>
      <c r="J26" s="24" t="s">
        <v>259</v>
      </c>
      <c r="K26" s="33">
        <v>0</v>
      </c>
      <c r="L26" s="24" t="s">
        <v>196</v>
      </c>
      <c r="M26" s="36">
        <v>328</v>
      </c>
      <c r="N26" s="36">
        <v>9090</v>
      </c>
      <c r="O26" s="35"/>
    </row>
    <row r="27" spans="1:19" x14ac:dyDescent="0.25">
      <c r="B27">
        <f>AVERAGE(B20:B24)</f>
        <v>21.740000000000002</v>
      </c>
      <c r="C27">
        <f>AVERAGE(C20:C24)</f>
        <v>9.7639999999999993</v>
      </c>
      <c r="J27" s="320">
        <v>7</v>
      </c>
      <c r="N27" s="28"/>
      <c r="O27" s="28"/>
    </row>
    <row r="28" spans="1:19" x14ac:dyDescent="0.25">
      <c r="A28" s="28" t="s">
        <v>140</v>
      </c>
      <c r="B28" s="28"/>
      <c r="C28" s="28"/>
      <c r="D28" s="28"/>
      <c r="E28" s="28"/>
      <c r="F28" s="28"/>
      <c r="G28" s="28"/>
      <c r="H28" s="28"/>
      <c r="I28" s="29"/>
      <c r="J28" s="28"/>
      <c r="K28" s="28"/>
      <c r="L28" s="28"/>
      <c r="M28" s="28"/>
      <c r="N28" s="28"/>
      <c r="O28" s="28"/>
    </row>
    <row r="29" spans="1:19" x14ac:dyDescent="0.25">
      <c r="A29" s="28"/>
      <c r="B29" s="28" t="s">
        <v>141</v>
      </c>
      <c r="C29" s="28"/>
      <c r="D29" s="28"/>
      <c r="E29" s="28"/>
      <c r="F29" s="28"/>
      <c r="G29" s="28"/>
      <c r="H29" s="28"/>
      <c r="I29" s="29"/>
      <c r="J29" s="28"/>
      <c r="K29" s="28"/>
      <c r="L29" s="28"/>
      <c r="M29" s="28"/>
      <c r="N29" s="28" t="s">
        <v>34</v>
      </c>
      <c r="O29" s="28"/>
    </row>
    <row r="30" spans="1:19" x14ac:dyDescent="0.25">
      <c r="A30" s="28" t="s">
        <v>272</v>
      </c>
      <c r="B30" s="28"/>
      <c r="C30" s="28"/>
      <c r="D30" s="28"/>
      <c r="E30" s="28"/>
      <c r="F30" s="28"/>
      <c r="G30" s="28"/>
      <c r="H30" s="28"/>
      <c r="I30" s="29"/>
      <c r="J30" s="28"/>
      <c r="K30" s="28"/>
      <c r="L30" s="28" t="s">
        <v>34</v>
      </c>
      <c r="M30" s="28"/>
      <c r="N30" s="28"/>
      <c r="O30" s="28"/>
    </row>
    <row r="31" spans="1:19" x14ac:dyDescent="0.25">
      <c r="A31" s="59" t="s">
        <v>275</v>
      </c>
      <c r="F31" s="28"/>
      <c r="G31" s="28"/>
      <c r="H31" s="28"/>
      <c r="I31" s="29"/>
      <c r="J31" s="28"/>
      <c r="K31" s="28" t="s">
        <v>34</v>
      </c>
      <c r="L31" s="28" t="s">
        <v>34</v>
      </c>
      <c r="M31" s="28" t="s">
        <v>34</v>
      </c>
      <c r="N31" s="28"/>
      <c r="O31" s="28"/>
    </row>
    <row r="32" spans="1:19" x14ac:dyDescent="0.25">
      <c r="A32" s="59"/>
      <c r="F32" s="28"/>
      <c r="G32" s="28"/>
      <c r="H32" s="28"/>
      <c r="I32" s="29"/>
      <c r="J32" s="28"/>
      <c r="K32" s="28"/>
      <c r="L32" s="28"/>
      <c r="M32" s="28"/>
      <c r="N32" s="28"/>
      <c r="O32" s="28"/>
    </row>
    <row r="33" spans="1:17" x14ac:dyDescent="0.25">
      <c r="A33" s="272" t="s">
        <v>28</v>
      </c>
      <c r="B33" s="275" t="s">
        <v>735</v>
      </c>
      <c r="C33" s="273"/>
      <c r="D33" s="273"/>
      <c r="E33" s="269"/>
      <c r="F33" s="269"/>
      <c r="G33" s="269"/>
      <c r="H33" s="269"/>
      <c r="I33" s="269"/>
      <c r="J33" s="269"/>
      <c r="K33" s="269"/>
      <c r="L33" s="269"/>
      <c r="M33" s="28" t="s">
        <v>34</v>
      </c>
      <c r="N33" s="28"/>
      <c r="O33" s="28"/>
    </row>
    <row r="34" spans="1:17" x14ac:dyDescent="0.25">
      <c r="A34" s="273"/>
      <c r="B34" s="275"/>
      <c r="C34" s="273"/>
      <c r="D34" s="273"/>
      <c r="E34" s="269"/>
      <c r="F34" s="269"/>
      <c r="G34" s="269"/>
      <c r="H34" s="269"/>
      <c r="I34" s="269"/>
      <c r="J34" s="269"/>
      <c r="K34" s="269"/>
      <c r="L34" s="269"/>
      <c r="M34" s="28" t="s">
        <v>34</v>
      </c>
      <c r="N34" s="28"/>
      <c r="O34" s="28"/>
    </row>
    <row r="35" spans="1:17" x14ac:dyDescent="0.25">
      <c r="A35" s="273"/>
      <c r="B35" s="274" t="s">
        <v>146</v>
      </c>
      <c r="C35" s="275"/>
      <c r="D35" s="275"/>
      <c r="E35" s="269"/>
      <c r="F35" s="269"/>
      <c r="G35" s="269"/>
      <c r="H35" s="269"/>
      <c r="I35" s="269"/>
      <c r="J35" s="269"/>
      <c r="K35" s="269"/>
      <c r="L35" s="269"/>
      <c r="M35" s="28"/>
      <c r="N35" s="28"/>
      <c r="O35" s="28"/>
    </row>
    <row r="36" spans="1:17" x14ac:dyDescent="0.25">
      <c r="A36" s="273"/>
      <c r="B36" s="275" t="s">
        <v>283</v>
      </c>
      <c r="C36" s="275"/>
      <c r="D36" s="275"/>
      <c r="E36" s="270"/>
      <c r="F36" s="270"/>
      <c r="G36" s="270"/>
      <c r="H36" s="270"/>
      <c r="I36" s="271"/>
      <c r="J36" s="270"/>
      <c r="K36" s="270"/>
      <c r="L36" s="269"/>
      <c r="M36" s="28"/>
      <c r="N36" s="28"/>
      <c r="O36" s="28"/>
    </row>
    <row r="37" spans="1:17" x14ac:dyDescent="0.25">
      <c r="A37" s="273"/>
      <c r="B37" s="275" t="s">
        <v>284</v>
      </c>
      <c r="C37" s="273"/>
      <c r="D37" s="273"/>
      <c r="E37" s="269"/>
      <c r="F37" s="269"/>
      <c r="G37" s="269"/>
      <c r="H37" s="269"/>
      <c r="I37" s="269"/>
      <c r="J37" s="269"/>
      <c r="K37" s="269"/>
      <c r="L37" s="270"/>
      <c r="M37" s="28" t="s">
        <v>34</v>
      </c>
      <c r="N37" s="28"/>
      <c r="O37" s="28"/>
    </row>
    <row r="38" spans="1:17" x14ac:dyDescent="0.25">
      <c r="A38" s="273"/>
      <c r="B38" s="276" t="s">
        <v>156</v>
      </c>
      <c r="C38" s="275"/>
      <c r="D38" s="275"/>
      <c r="E38" s="269"/>
      <c r="F38" s="269"/>
      <c r="G38" s="269"/>
      <c r="H38" s="269"/>
      <c r="I38" s="269"/>
      <c r="J38" s="269"/>
      <c r="K38" s="269"/>
      <c r="L38" s="270"/>
      <c r="M38" s="28"/>
      <c r="N38" s="28"/>
      <c r="O38" s="28"/>
      <c r="Q38">
        <f>60*6000</f>
        <v>360000</v>
      </c>
    </row>
    <row r="39" spans="1:17" x14ac:dyDescent="0.25">
      <c r="A39" s="273"/>
      <c r="B39" s="275" t="s">
        <v>260</v>
      </c>
      <c r="C39" s="275"/>
      <c r="D39" s="275"/>
      <c r="E39" s="269"/>
      <c r="F39" s="269"/>
      <c r="G39" s="269"/>
      <c r="H39" s="269"/>
      <c r="I39" s="269"/>
      <c r="J39" s="269"/>
      <c r="K39" s="269"/>
      <c r="L39" s="270"/>
      <c r="M39" s="28"/>
      <c r="N39" s="28"/>
      <c r="O39" s="28"/>
    </row>
    <row r="40" spans="1:17" x14ac:dyDescent="0.25">
      <c r="A40" s="273"/>
      <c r="B40" s="275" t="s">
        <v>289</v>
      </c>
      <c r="C40" s="277"/>
      <c r="D40" s="277"/>
      <c r="E40" s="269"/>
      <c r="F40" s="269"/>
      <c r="G40" s="269"/>
      <c r="H40" s="269"/>
      <c r="I40" s="269"/>
      <c r="J40" s="269"/>
      <c r="K40" s="269"/>
      <c r="L40" s="269"/>
      <c r="M40" s="28"/>
      <c r="N40" s="28"/>
      <c r="O40" s="28"/>
    </row>
    <row r="41" spans="1:17" x14ac:dyDescent="0.25">
      <c r="A41" s="273"/>
      <c r="B41" s="275" t="s">
        <v>290</v>
      </c>
      <c r="C41" s="275"/>
      <c r="D41" s="275"/>
      <c r="E41" s="269"/>
      <c r="F41" s="269"/>
      <c r="G41" s="269"/>
      <c r="H41" s="269"/>
      <c r="I41" s="269"/>
      <c r="J41" s="269"/>
      <c r="K41" s="269"/>
      <c r="L41" s="269"/>
      <c r="N41" s="28"/>
      <c r="O41" s="28"/>
    </row>
    <row r="42" spans="1:17" x14ac:dyDescent="0.25">
      <c r="A42" s="273"/>
      <c r="B42" s="278" t="s">
        <v>36</v>
      </c>
      <c r="C42" s="275"/>
      <c r="D42" s="275"/>
      <c r="E42" s="269"/>
      <c r="F42" s="269"/>
      <c r="G42" s="269"/>
      <c r="H42" s="269"/>
      <c r="I42" s="269"/>
      <c r="J42" s="269"/>
      <c r="K42" s="269"/>
      <c r="L42" s="270"/>
      <c r="N42" s="28"/>
      <c r="O42" s="28"/>
    </row>
    <row r="43" spans="1:17" x14ac:dyDescent="0.25">
      <c r="A43" s="273"/>
      <c r="B43" s="274" t="s">
        <v>133</v>
      </c>
      <c r="C43" s="275"/>
      <c r="D43" s="275"/>
      <c r="E43" s="269"/>
      <c r="F43" s="269"/>
      <c r="G43" s="269"/>
      <c r="H43" s="269"/>
      <c r="I43" s="269"/>
      <c r="J43" s="269"/>
      <c r="K43" s="269"/>
      <c r="L43" s="269"/>
      <c r="N43" s="28"/>
      <c r="O43" s="28" t="s">
        <v>34</v>
      </c>
    </row>
    <row r="44" spans="1:17" x14ac:dyDescent="0.25">
      <c r="A44" s="273"/>
      <c r="B44" s="274" t="s">
        <v>294</v>
      </c>
      <c r="C44" s="273"/>
      <c r="D44" s="273"/>
      <c r="E44" s="270"/>
      <c r="F44" s="270"/>
      <c r="G44" s="270"/>
      <c r="H44" s="270"/>
      <c r="I44" s="271"/>
      <c r="J44" s="270"/>
      <c r="K44" s="269"/>
      <c r="L44" s="269"/>
      <c r="M44" s="28"/>
      <c r="N44" s="28"/>
      <c r="O44" s="28"/>
    </row>
    <row r="45" spans="1:17" x14ac:dyDescent="0.25">
      <c r="A45" s="275"/>
      <c r="B45" s="274" t="s">
        <v>295</v>
      </c>
      <c r="C45" s="275"/>
      <c r="D45" s="275"/>
      <c r="E45" s="269"/>
      <c r="F45" s="269"/>
      <c r="G45" s="269"/>
      <c r="H45" s="269"/>
      <c r="I45" s="269"/>
      <c r="J45" s="269"/>
      <c r="K45" s="269"/>
      <c r="L45" s="269"/>
      <c r="M45" s="28"/>
      <c r="N45" s="28"/>
      <c r="O45" s="28"/>
    </row>
    <row r="46" spans="1:17" x14ac:dyDescent="0.25">
      <c r="A46" s="275"/>
      <c r="B46" s="274" t="s">
        <v>296</v>
      </c>
      <c r="C46" s="275"/>
      <c r="D46" s="275"/>
      <c r="E46" s="269"/>
      <c r="F46" s="269"/>
      <c r="G46" s="269"/>
      <c r="H46" s="269"/>
      <c r="I46" s="269"/>
      <c r="J46" s="269"/>
      <c r="K46" s="269"/>
      <c r="L46" s="270"/>
    </row>
    <row r="47" spans="1:17" x14ac:dyDescent="0.25">
      <c r="A47" s="275"/>
      <c r="B47" s="275"/>
      <c r="C47" s="275"/>
      <c r="D47" s="275"/>
      <c r="E47" s="269"/>
      <c r="F47" s="269"/>
      <c r="G47" s="269"/>
      <c r="H47" s="269"/>
      <c r="I47" s="269"/>
      <c r="J47" s="269"/>
      <c r="K47" s="269"/>
      <c r="L47" s="269"/>
    </row>
    <row r="48" spans="1:17" x14ac:dyDescent="0.25">
      <c r="A48" s="275"/>
      <c r="B48" s="275" t="s">
        <v>280</v>
      </c>
      <c r="C48" s="275"/>
      <c r="D48" s="275"/>
      <c r="E48" s="269"/>
      <c r="F48" s="269"/>
      <c r="G48" s="269"/>
      <c r="H48" s="269"/>
      <c r="I48" s="269"/>
      <c r="J48" s="269"/>
      <c r="K48" s="269"/>
      <c r="L48" s="269"/>
      <c r="O48" t="s">
        <v>34</v>
      </c>
    </row>
    <row r="49" spans="1:14" x14ac:dyDescent="0.25">
      <c r="A49" s="275"/>
      <c r="B49" s="274" t="s">
        <v>288</v>
      </c>
      <c r="C49" s="275"/>
      <c r="D49" s="275"/>
      <c r="E49" s="270"/>
      <c r="F49" s="270"/>
      <c r="G49" s="270"/>
      <c r="H49" s="271"/>
      <c r="I49" s="270"/>
      <c r="J49" s="269"/>
      <c r="K49" s="270"/>
      <c r="L49" s="269"/>
      <c r="N49" t="s">
        <v>34</v>
      </c>
    </row>
    <row r="50" spans="1:14" x14ac:dyDescent="0.25">
      <c r="A50" s="275"/>
      <c r="B50" s="274" t="s">
        <v>736</v>
      </c>
      <c r="C50" s="275"/>
      <c r="D50" s="275"/>
      <c r="E50" s="269"/>
      <c r="F50" s="269"/>
      <c r="G50" s="269"/>
      <c r="H50" s="269"/>
      <c r="I50" s="269"/>
      <c r="J50" s="269"/>
      <c r="K50" s="269"/>
      <c r="L50" s="269"/>
    </row>
    <row r="51" spans="1:14" x14ac:dyDescent="0.25">
      <c r="A51" s="275"/>
      <c r="B51" s="274" t="s">
        <v>253</v>
      </c>
      <c r="C51" s="275"/>
      <c r="D51" s="275"/>
      <c r="E51" s="269"/>
      <c r="F51" s="269"/>
      <c r="G51" s="269"/>
      <c r="H51" s="269"/>
      <c r="I51" s="269"/>
      <c r="J51" s="269"/>
      <c r="K51" s="269"/>
      <c r="L51" s="269"/>
    </row>
    <row r="52" spans="1:14" x14ac:dyDescent="0.25">
      <c r="A52" s="275"/>
      <c r="B52" s="275"/>
      <c r="C52" s="273"/>
      <c r="D52" s="273"/>
      <c r="E52" s="269"/>
      <c r="F52" s="269"/>
      <c r="G52" s="269"/>
      <c r="H52" s="269"/>
      <c r="I52" s="269"/>
      <c r="J52" s="269"/>
      <c r="K52" s="269"/>
      <c r="L52" s="269"/>
      <c r="N52" t="s">
        <v>34</v>
      </c>
    </row>
    <row r="53" spans="1:14" x14ac:dyDescent="0.25">
      <c r="A53" s="275"/>
      <c r="B53" s="275" t="s">
        <v>737</v>
      </c>
      <c r="C53" s="275"/>
      <c r="D53" s="275"/>
      <c r="E53" s="269"/>
      <c r="F53" s="269"/>
      <c r="G53" s="269"/>
      <c r="H53" s="269"/>
      <c r="I53" s="269"/>
      <c r="J53" s="269"/>
      <c r="K53" s="269"/>
      <c r="L53" s="269"/>
    </row>
    <row r="54" spans="1:14" x14ac:dyDescent="0.25">
      <c r="A54" s="275"/>
      <c r="B54" s="275" t="s">
        <v>155</v>
      </c>
      <c r="C54" s="275"/>
      <c r="D54" s="275"/>
      <c r="E54" s="269"/>
      <c r="F54" s="269"/>
      <c r="G54" s="269"/>
      <c r="H54" s="269"/>
      <c r="I54" s="269"/>
      <c r="J54" s="269"/>
      <c r="K54" s="269"/>
      <c r="L54" s="269"/>
    </row>
    <row r="55" spans="1:14" x14ac:dyDescent="0.25">
      <c r="A55" s="275"/>
      <c r="B55" s="274" t="s">
        <v>157</v>
      </c>
      <c r="C55" s="275"/>
      <c r="D55" s="275"/>
      <c r="E55" s="269"/>
      <c r="F55" s="269"/>
      <c r="G55" s="269"/>
      <c r="H55" s="269"/>
      <c r="I55" s="269"/>
      <c r="J55" s="269"/>
      <c r="K55" s="269"/>
      <c r="L55" s="269"/>
    </row>
    <row r="56" spans="1:14" x14ac:dyDescent="0.25">
      <c r="A56" s="275"/>
      <c r="C56" s="275"/>
      <c r="D56" s="275"/>
      <c r="E56" s="269"/>
      <c r="F56" s="269"/>
      <c r="G56" s="269"/>
      <c r="H56" s="269"/>
      <c r="I56" s="269"/>
      <c r="J56" s="269"/>
      <c r="K56" s="269"/>
      <c r="L56" s="269"/>
    </row>
    <row r="57" spans="1:14" x14ac:dyDescent="0.25">
      <c r="A57" s="275"/>
      <c r="C57" s="273"/>
      <c r="D57" s="273"/>
      <c r="E57" s="269"/>
      <c r="F57" s="269"/>
      <c r="G57" s="269"/>
      <c r="H57" s="269"/>
      <c r="I57" s="269"/>
      <c r="J57" s="269"/>
      <c r="K57" s="269"/>
      <c r="L57" s="269"/>
    </row>
  </sheetData>
  <pageMargins left="0.7" right="0.7" top="0.75" bottom="0.75" header="0.3" footer="0.3"/>
  <pageSetup scale="58" orientation="landscape" verticalDpi="597" r:id="rId1"/>
  <drawing r:id="rId2"/>
  <legacyDrawing r:id="rId3"/>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tabColor rgb="FFFFC000"/>
    <pageSetUpPr fitToPage="1"/>
  </sheetPr>
  <dimension ref="A6:S53"/>
  <sheetViews>
    <sheetView zoomScale="90" zoomScaleNormal="90" workbookViewId="0"/>
  </sheetViews>
  <sheetFormatPr defaultRowHeight="15" x14ac:dyDescent="0.25"/>
  <cols>
    <col min="2" max="2" width="11.7109375" customWidth="1"/>
    <col min="9" max="9" width="10.28515625" bestFit="1" customWidth="1"/>
    <col min="11" max="11" width="8.42578125" bestFit="1" customWidth="1"/>
  </cols>
  <sheetData>
    <row r="6" spans="1:15" x14ac:dyDescent="0.25">
      <c r="A6" s="7" t="s">
        <v>12</v>
      </c>
      <c r="B6" s="28"/>
      <c r="C6" s="28"/>
      <c r="D6" s="28"/>
      <c r="E6" s="28"/>
      <c r="F6" s="28"/>
      <c r="G6" s="28"/>
      <c r="H6" s="28"/>
      <c r="I6" s="217"/>
      <c r="J6" s="28"/>
      <c r="K6" s="28"/>
      <c r="L6" s="28"/>
      <c r="M6" s="28"/>
      <c r="N6" s="28"/>
      <c r="O6" s="28"/>
    </row>
    <row r="7" spans="1:15" x14ac:dyDescent="0.25">
      <c r="A7" s="30" t="s">
        <v>13</v>
      </c>
      <c r="B7" s="30">
        <v>41773</v>
      </c>
    </row>
    <row r="8" spans="1:15" x14ac:dyDescent="0.25">
      <c r="A8" s="28" t="s">
        <v>14</v>
      </c>
      <c r="B8" s="28">
        <v>21</v>
      </c>
      <c r="C8" s="28" t="s">
        <v>648</v>
      </c>
      <c r="D8" s="28"/>
      <c r="E8" s="28"/>
      <c r="F8" s="28"/>
      <c r="G8" s="28"/>
      <c r="H8" s="28"/>
      <c r="I8" s="217"/>
      <c r="J8" s="28"/>
      <c r="K8" s="28" t="s">
        <v>34</v>
      </c>
      <c r="L8" s="28" t="s">
        <v>34</v>
      </c>
      <c r="M8" s="28"/>
      <c r="N8" s="28"/>
      <c r="O8" s="28"/>
    </row>
    <row r="9" spans="1:15" x14ac:dyDescent="0.25">
      <c r="A9" s="28" t="s">
        <v>15</v>
      </c>
      <c r="B9" s="28">
        <v>10</v>
      </c>
      <c r="C9" s="28" t="s">
        <v>240</v>
      </c>
      <c r="D9" s="28"/>
      <c r="E9" s="28"/>
      <c r="F9" s="28"/>
      <c r="G9" s="28"/>
      <c r="H9" s="28"/>
      <c r="I9" s="217"/>
      <c r="J9" s="28"/>
      <c r="K9" s="28"/>
      <c r="L9" s="28"/>
      <c r="M9" s="28"/>
      <c r="N9" s="28"/>
      <c r="O9" s="28"/>
    </row>
    <row r="10" spans="1:15" x14ac:dyDescent="0.25">
      <c r="A10" s="28" t="s">
        <v>16</v>
      </c>
      <c r="B10" s="31">
        <v>2000</v>
      </c>
      <c r="C10" s="28" t="s">
        <v>710</v>
      </c>
      <c r="D10" s="28"/>
      <c r="E10" s="28"/>
      <c r="F10" s="28"/>
      <c r="G10" s="28"/>
      <c r="H10" s="28"/>
      <c r="I10" s="217" t="s">
        <v>34</v>
      </c>
      <c r="J10" s="28" t="s">
        <v>34</v>
      </c>
      <c r="K10" s="28" t="s">
        <v>34</v>
      </c>
      <c r="L10" s="28" t="s">
        <v>34</v>
      </c>
      <c r="M10" s="28" t="s">
        <v>34</v>
      </c>
      <c r="N10" s="28" t="s">
        <v>34</v>
      </c>
      <c r="O10" s="28"/>
    </row>
    <row r="11" spans="1:15" x14ac:dyDescent="0.25">
      <c r="A11" s="28"/>
      <c r="B11" s="238">
        <v>200000000</v>
      </c>
      <c r="C11" s="28" t="s">
        <v>706</v>
      </c>
      <c r="D11" s="28"/>
      <c r="E11" s="28"/>
      <c r="F11" s="28"/>
      <c r="G11" s="28"/>
      <c r="H11" s="28"/>
      <c r="I11" s="217"/>
      <c r="J11" s="28"/>
      <c r="K11" s="28" t="s">
        <v>34</v>
      </c>
      <c r="L11" s="28"/>
      <c r="M11" s="28"/>
      <c r="N11" s="28"/>
      <c r="O11" s="28"/>
    </row>
    <row r="12" spans="1:15" x14ac:dyDescent="0.25">
      <c r="A12" s="28"/>
      <c r="B12" s="31">
        <v>90</v>
      </c>
      <c r="C12" s="28" t="s">
        <v>712</v>
      </c>
      <c r="D12" s="28"/>
      <c r="E12" s="28"/>
      <c r="F12" s="28"/>
      <c r="G12" s="28"/>
      <c r="H12" s="28"/>
      <c r="I12" s="217"/>
      <c r="J12" s="28"/>
      <c r="K12" s="28"/>
      <c r="L12" s="28"/>
      <c r="M12" s="28"/>
      <c r="N12" s="28"/>
      <c r="O12" s="28"/>
    </row>
    <row r="13" spans="1:15" x14ac:dyDescent="0.25">
      <c r="A13" s="28"/>
      <c r="B13" s="31">
        <v>6</v>
      </c>
      <c r="C13" s="28" t="s">
        <v>697</v>
      </c>
      <c r="D13" s="28"/>
      <c r="E13" s="28"/>
      <c r="F13" s="28"/>
      <c r="G13" s="28"/>
      <c r="H13" s="28"/>
      <c r="I13" s="241"/>
      <c r="J13" s="28"/>
      <c r="K13" s="28"/>
      <c r="L13" s="28"/>
      <c r="M13" s="28"/>
      <c r="N13" s="28"/>
      <c r="O13" s="28"/>
    </row>
    <row r="14" spans="1:15" x14ac:dyDescent="0.25">
      <c r="A14" s="28"/>
      <c r="B14" s="31">
        <v>200</v>
      </c>
      <c r="C14" s="87" t="s">
        <v>696</v>
      </c>
      <c r="D14" s="28"/>
      <c r="E14" s="28"/>
      <c r="F14" s="28"/>
      <c r="G14" s="28"/>
      <c r="H14" s="28"/>
      <c r="I14" s="241"/>
      <c r="J14" s="28"/>
      <c r="K14" s="28"/>
      <c r="L14" s="28"/>
      <c r="M14" s="28"/>
      <c r="N14" s="28"/>
      <c r="O14" s="28"/>
    </row>
    <row r="15" spans="1:15" x14ac:dyDescent="0.25">
      <c r="A15" s="28"/>
      <c r="B15" s="31">
        <v>0</v>
      </c>
      <c r="C15" s="87" t="s">
        <v>698</v>
      </c>
      <c r="D15" s="28"/>
      <c r="E15" s="28"/>
      <c r="F15" s="28"/>
      <c r="G15" s="28"/>
      <c r="H15" s="28"/>
      <c r="I15" s="241"/>
      <c r="J15" s="28"/>
      <c r="K15" s="28"/>
      <c r="L15" s="28"/>
      <c r="M15" s="28"/>
      <c r="N15" s="28"/>
      <c r="O15" s="28"/>
    </row>
    <row r="16" spans="1:15" x14ac:dyDescent="0.25">
      <c r="A16" s="28"/>
      <c r="B16" s="232">
        <f>(B12*B13/100*1000)/(B10+B12-B14+B15)*1000</f>
        <v>2857.1428571428573</v>
      </c>
      <c r="C16" s="28" t="s">
        <v>700</v>
      </c>
      <c r="D16" s="28"/>
      <c r="E16" s="28"/>
      <c r="F16" s="28"/>
      <c r="G16" s="28"/>
      <c r="H16" s="28"/>
      <c r="I16" s="241"/>
      <c r="J16" s="28"/>
      <c r="K16" s="28"/>
      <c r="L16" s="28"/>
      <c r="M16" s="28"/>
      <c r="N16" s="28"/>
      <c r="O16" s="28"/>
    </row>
    <row r="17" spans="1:19" ht="15.75" thickBot="1" x14ac:dyDescent="0.3">
      <c r="A17" s="28"/>
      <c r="B17" s="28"/>
      <c r="C17" s="28" t="s">
        <v>711</v>
      </c>
      <c r="D17" s="28"/>
      <c r="E17" s="28"/>
      <c r="F17" s="28"/>
      <c r="G17" s="28"/>
      <c r="H17" s="28"/>
      <c r="I17" s="217"/>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19" ht="15.75" thickBot="1" x14ac:dyDescent="0.3">
      <c r="A19" s="32">
        <v>0</v>
      </c>
      <c r="B19" s="23">
        <v>19.2</v>
      </c>
      <c r="C19" s="23">
        <v>7.22</v>
      </c>
      <c r="D19" s="23">
        <v>7.12</v>
      </c>
      <c r="E19" s="23">
        <v>0.49</v>
      </c>
      <c r="F19" s="23">
        <v>0.36</v>
      </c>
      <c r="G19" s="23">
        <v>127</v>
      </c>
      <c r="H19" s="23">
        <v>4290</v>
      </c>
      <c r="I19" s="33">
        <v>38000000</v>
      </c>
      <c r="J19" s="125">
        <f>LOG(I19)-LOG(I19)</f>
        <v>0</v>
      </c>
      <c r="K19" s="23" t="s">
        <v>26</v>
      </c>
      <c r="L19" s="23" t="s">
        <v>26</v>
      </c>
      <c r="M19" s="23" t="s">
        <v>26</v>
      </c>
      <c r="N19" s="23" t="s">
        <v>26</v>
      </c>
      <c r="O19" s="23" t="s">
        <v>26</v>
      </c>
      <c r="P19" s="233">
        <f>B$16*A19</f>
        <v>0</v>
      </c>
      <c r="Q19" s="233">
        <f>6/LINEST(J19:J21,P19:P21,FALSE)</f>
        <v>24384.366814519668</v>
      </c>
      <c r="R19" s="233">
        <f>Q19/3000</f>
        <v>8.1281222715065553</v>
      </c>
      <c r="S19" s="233">
        <f>(J28/LINEST($J19:$J21,$P19:$P21,FALSE))/$B$16</f>
        <v>10.810402621103718</v>
      </c>
    </row>
    <row r="20" spans="1:19" ht="15.75" thickBot="1" x14ac:dyDescent="0.3">
      <c r="A20" s="32">
        <v>5</v>
      </c>
      <c r="B20" s="24">
        <v>20.2</v>
      </c>
      <c r="C20" s="24">
        <v>9.34</v>
      </c>
      <c r="D20" s="24">
        <v>10.95</v>
      </c>
      <c r="E20" s="24">
        <v>8000</v>
      </c>
      <c r="F20" s="24">
        <v>1.5</v>
      </c>
      <c r="G20" s="24">
        <v>79</v>
      </c>
      <c r="H20" s="24">
        <v>3610</v>
      </c>
      <c r="I20" s="33">
        <v>160000</v>
      </c>
      <c r="J20" s="125">
        <f>LOG(I19)-LOG(I20)</f>
        <v>2.3756636139608851</v>
      </c>
      <c r="K20" s="23" t="s">
        <v>26</v>
      </c>
      <c r="L20" s="23" t="s">
        <v>26</v>
      </c>
      <c r="M20" s="23" t="s">
        <v>26</v>
      </c>
      <c r="N20" s="23" t="s">
        <v>26</v>
      </c>
      <c r="O20" s="23" t="s">
        <v>26</v>
      </c>
      <c r="P20" s="233">
        <f>B$16*A20</f>
        <v>14285.714285714286</v>
      </c>
      <c r="Q20" s="228"/>
    </row>
    <row r="21" spans="1:19" ht="15.75" thickBot="1" x14ac:dyDescent="0.3">
      <c r="A21" s="32">
        <v>10</v>
      </c>
      <c r="B21" s="24">
        <v>20.399999999999999</v>
      </c>
      <c r="C21" s="24">
        <v>9.32</v>
      </c>
      <c r="D21" s="24">
        <v>11</v>
      </c>
      <c r="E21" s="24">
        <v>2200</v>
      </c>
      <c r="F21" s="24">
        <v>0.5</v>
      </c>
      <c r="G21" s="24">
        <v>79</v>
      </c>
      <c r="H21" s="24">
        <v>3280</v>
      </c>
      <c r="I21" s="33">
        <v>0</v>
      </c>
      <c r="J21" s="24">
        <v>7.6</v>
      </c>
      <c r="K21" s="23" t="s">
        <v>26</v>
      </c>
      <c r="L21" s="23" t="s">
        <v>26</v>
      </c>
      <c r="M21" s="23" t="s">
        <v>26</v>
      </c>
      <c r="N21" s="23" t="s">
        <v>26</v>
      </c>
      <c r="O21" s="23" t="s">
        <v>26</v>
      </c>
      <c r="P21" s="233">
        <f>B$16*A21</f>
        <v>28571.428571428572</v>
      </c>
      <c r="Q21" s="228"/>
    </row>
    <row r="22" spans="1:19" ht="15.75" thickBot="1" x14ac:dyDescent="0.3">
      <c r="A22" s="32">
        <v>15</v>
      </c>
      <c r="B22" s="24">
        <v>20.6</v>
      </c>
      <c r="C22" s="24">
        <v>9.26</v>
      </c>
      <c r="D22" s="24">
        <v>11.13</v>
      </c>
      <c r="E22" s="24">
        <v>5400</v>
      </c>
      <c r="F22" s="24">
        <v>1.3</v>
      </c>
      <c r="G22" s="24">
        <v>74</v>
      </c>
      <c r="H22" s="24">
        <v>3700</v>
      </c>
      <c r="I22" s="33">
        <v>0</v>
      </c>
      <c r="J22" s="24" t="s">
        <v>617</v>
      </c>
      <c r="K22" s="23" t="s">
        <v>26</v>
      </c>
      <c r="L22" s="23" t="s">
        <v>26</v>
      </c>
      <c r="M22" s="23" t="s">
        <v>26</v>
      </c>
      <c r="N22" s="23" t="s">
        <v>26</v>
      </c>
      <c r="O22" s="23" t="s">
        <v>26</v>
      </c>
      <c r="P22" s="233"/>
      <c r="Q22" s="228"/>
    </row>
    <row r="23" spans="1:19" ht="15.75" thickBot="1" x14ac:dyDescent="0.3">
      <c r="A23" s="32">
        <v>20</v>
      </c>
      <c r="B23" s="24">
        <v>20.8</v>
      </c>
      <c r="C23" s="24">
        <v>9.25</v>
      </c>
      <c r="D23" s="24">
        <v>11.18</v>
      </c>
      <c r="E23" s="24">
        <v>4300</v>
      </c>
      <c r="F23" s="24">
        <v>0.2</v>
      </c>
      <c r="G23" s="24">
        <v>75</v>
      </c>
      <c r="H23" s="24">
        <v>3780</v>
      </c>
      <c r="I23" s="33">
        <v>0</v>
      </c>
      <c r="J23" s="24" t="s">
        <v>617</v>
      </c>
      <c r="K23" s="23" t="s">
        <v>26</v>
      </c>
      <c r="L23" s="23" t="s">
        <v>26</v>
      </c>
      <c r="M23" s="23" t="s">
        <v>26</v>
      </c>
      <c r="N23" s="23" t="s">
        <v>26</v>
      </c>
      <c r="O23" s="23" t="s">
        <v>26</v>
      </c>
      <c r="P23" s="233"/>
      <c r="Q23" s="228"/>
    </row>
    <row r="24" spans="1:19" ht="15.75" thickBot="1" x14ac:dyDescent="0.3">
      <c r="A24" s="32">
        <v>30</v>
      </c>
      <c r="B24" s="24">
        <v>20.5</v>
      </c>
      <c r="C24" s="24">
        <v>9.1999999999999993</v>
      </c>
      <c r="D24" s="24">
        <v>11.25</v>
      </c>
      <c r="E24" s="24">
        <v>4700</v>
      </c>
      <c r="F24" s="58">
        <v>1.6</v>
      </c>
      <c r="G24" s="24">
        <v>78</v>
      </c>
      <c r="H24" s="24">
        <v>4110</v>
      </c>
      <c r="I24" s="33">
        <v>0</v>
      </c>
      <c r="J24" s="24" t="s">
        <v>617</v>
      </c>
      <c r="K24" s="23" t="s">
        <v>26</v>
      </c>
      <c r="L24" s="23" t="s">
        <v>26</v>
      </c>
      <c r="M24" s="23" t="s">
        <v>26</v>
      </c>
      <c r="N24" s="23" t="s">
        <v>26</v>
      </c>
      <c r="O24" s="23" t="s">
        <v>26</v>
      </c>
      <c r="P24" s="233"/>
      <c r="Q24" s="228"/>
    </row>
    <row r="25" spans="1:19" ht="15.75" thickBot="1" x14ac:dyDescent="0.3">
      <c r="A25" s="32">
        <v>40</v>
      </c>
      <c r="B25" s="24">
        <v>20</v>
      </c>
      <c r="C25" s="24">
        <v>9.14</v>
      </c>
      <c r="D25" s="24">
        <v>11.44</v>
      </c>
      <c r="E25" s="24">
        <v>2200</v>
      </c>
      <c r="F25" s="58">
        <v>0.7</v>
      </c>
      <c r="G25" s="24">
        <v>77</v>
      </c>
      <c r="H25" s="24">
        <v>3860</v>
      </c>
      <c r="I25" s="33">
        <v>0</v>
      </c>
      <c r="J25" s="24" t="s">
        <v>617</v>
      </c>
      <c r="K25" s="23" t="s">
        <v>26</v>
      </c>
      <c r="L25" s="23" t="s">
        <v>26</v>
      </c>
      <c r="M25" s="23" t="s">
        <v>26</v>
      </c>
      <c r="N25" s="23" t="s">
        <v>26</v>
      </c>
      <c r="O25" s="23" t="s">
        <v>26</v>
      </c>
      <c r="P25" s="233"/>
      <c r="Q25" s="228"/>
    </row>
    <row r="26" spans="1:19" ht="15.75" thickBot="1" x14ac:dyDescent="0.3">
      <c r="A26" s="32">
        <v>50</v>
      </c>
      <c r="B26" s="24">
        <v>19.399999999999999</v>
      </c>
      <c r="C26" s="24">
        <v>9.11</v>
      </c>
      <c r="D26" s="24">
        <v>11.55</v>
      </c>
      <c r="E26" s="24">
        <v>4400</v>
      </c>
      <c r="F26" s="58">
        <v>0.6</v>
      </c>
      <c r="G26" s="24">
        <v>77</v>
      </c>
      <c r="H26" s="24">
        <v>4190</v>
      </c>
      <c r="I26" s="33">
        <v>0</v>
      </c>
      <c r="J26" s="24" t="s">
        <v>617</v>
      </c>
      <c r="K26" s="23" t="s">
        <v>26</v>
      </c>
      <c r="L26" s="23" t="s">
        <v>26</v>
      </c>
      <c r="M26" s="23" t="s">
        <v>26</v>
      </c>
      <c r="N26" s="23" t="s">
        <v>26</v>
      </c>
      <c r="O26" s="23" t="s">
        <v>26</v>
      </c>
    </row>
    <row r="27" spans="1:19" ht="15.75" thickBot="1" x14ac:dyDescent="0.3">
      <c r="A27" s="32">
        <v>60</v>
      </c>
      <c r="B27" s="24">
        <v>19.2</v>
      </c>
      <c r="C27" s="24">
        <v>9.09</v>
      </c>
      <c r="D27" s="24">
        <v>11.79</v>
      </c>
      <c r="E27" s="24">
        <v>5200</v>
      </c>
      <c r="F27" s="58">
        <v>0.3</v>
      </c>
      <c r="G27" s="24">
        <v>77</v>
      </c>
      <c r="H27" s="24">
        <v>4100</v>
      </c>
      <c r="I27" s="33">
        <v>0</v>
      </c>
      <c r="J27" s="24" t="s">
        <v>617</v>
      </c>
      <c r="K27" s="23" t="s">
        <v>26</v>
      </c>
      <c r="L27" s="23" t="s">
        <v>26</v>
      </c>
      <c r="M27" s="23" t="s">
        <v>26</v>
      </c>
      <c r="N27" s="23" t="s">
        <v>26</v>
      </c>
      <c r="O27" s="23" t="s">
        <v>26</v>
      </c>
    </row>
    <row r="28" spans="1:19" x14ac:dyDescent="0.25">
      <c r="A28" s="142"/>
      <c r="B28" s="38">
        <f>AVERAGE(B20:B21)</f>
        <v>20.299999999999997</v>
      </c>
      <c r="C28" s="38">
        <f>AVERAGE(C20:C21)</f>
        <v>9.33</v>
      </c>
      <c r="D28" s="38"/>
      <c r="E28" s="38"/>
      <c r="F28" s="145"/>
      <c r="G28" s="38"/>
      <c r="H28" s="38"/>
      <c r="I28" s="279"/>
      <c r="J28" s="38">
        <v>7.6</v>
      </c>
      <c r="K28" s="38"/>
      <c r="L28" s="38"/>
      <c r="M28" s="38"/>
      <c r="N28" s="38"/>
      <c r="O28" s="38"/>
    </row>
    <row r="29" spans="1:19" x14ac:dyDescent="0.25">
      <c r="A29" s="189" t="s">
        <v>636</v>
      </c>
      <c r="N29" s="28"/>
      <c r="O29" s="28"/>
    </row>
    <row r="30" spans="1:19" x14ac:dyDescent="0.25">
      <c r="A30" s="28" t="s">
        <v>140</v>
      </c>
      <c r="B30" s="28"/>
      <c r="C30" s="28"/>
      <c r="D30" s="28"/>
      <c r="E30" s="28"/>
      <c r="F30" s="28"/>
      <c r="G30" s="28"/>
      <c r="H30" s="28"/>
      <c r="I30" s="217"/>
      <c r="J30" s="28"/>
      <c r="K30" s="28"/>
      <c r="L30" s="28"/>
      <c r="M30" s="28"/>
      <c r="N30" s="28"/>
      <c r="O30" s="28"/>
    </row>
    <row r="31" spans="1:19" x14ac:dyDescent="0.25">
      <c r="A31" s="28"/>
      <c r="B31" s="28" t="s">
        <v>141</v>
      </c>
      <c r="C31" s="28"/>
      <c r="D31" s="28"/>
      <c r="E31" s="28"/>
      <c r="F31" s="28"/>
      <c r="G31" s="28"/>
      <c r="H31" s="28"/>
      <c r="I31" s="217"/>
      <c r="J31" s="28"/>
      <c r="K31" s="28"/>
      <c r="L31" s="28"/>
      <c r="M31" s="28"/>
      <c r="N31" s="28" t="s">
        <v>34</v>
      </c>
      <c r="O31" s="28"/>
    </row>
    <row r="32" spans="1:19" x14ac:dyDescent="0.25">
      <c r="A32" s="28" t="s">
        <v>264</v>
      </c>
      <c r="B32" s="28"/>
      <c r="C32" s="28"/>
      <c r="D32" s="28"/>
      <c r="E32" s="28"/>
      <c r="F32" s="28"/>
      <c r="G32" s="28"/>
      <c r="H32" s="28"/>
      <c r="I32" s="217"/>
      <c r="J32" s="28" t="s">
        <v>34</v>
      </c>
      <c r="K32" s="28"/>
      <c r="L32" s="28" t="s">
        <v>34</v>
      </c>
      <c r="M32" s="28"/>
      <c r="N32" s="28"/>
      <c r="O32" s="28"/>
    </row>
    <row r="33" spans="1:17" x14ac:dyDescent="0.25">
      <c r="A33" s="59"/>
      <c r="F33" s="28"/>
      <c r="G33" s="28"/>
      <c r="H33" s="28"/>
      <c r="I33" s="217"/>
      <c r="J33" s="28"/>
      <c r="K33" s="28"/>
      <c r="L33" s="28" t="s">
        <v>34</v>
      </c>
      <c r="M33" s="28" t="s">
        <v>34</v>
      </c>
      <c r="N33" s="28"/>
      <c r="O33" s="28"/>
    </row>
    <row r="34" spans="1:17" x14ac:dyDescent="0.25">
      <c r="A34" s="19" t="s">
        <v>28</v>
      </c>
      <c r="B34" s="28"/>
      <c r="C34" s="28"/>
      <c r="D34" s="28"/>
      <c r="E34" s="28"/>
      <c r="F34" s="28"/>
      <c r="G34" s="28"/>
      <c r="H34" s="28"/>
      <c r="I34" s="217"/>
      <c r="J34" s="28"/>
      <c r="K34" s="28" t="s">
        <v>34</v>
      </c>
      <c r="L34" s="28"/>
      <c r="M34" s="28" t="s">
        <v>34</v>
      </c>
      <c r="N34" s="28"/>
      <c r="O34" s="28"/>
      <c r="Q34" t="s">
        <v>690</v>
      </c>
    </row>
    <row r="35" spans="1:17" x14ac:dyDescent="0.25">
      <c r="A35" s="28"/>
      <c r="B35" s="189" t="s">
        <v>640</v>
      </c>
      <c r="C35" s="28"/>
      <c r="D35" s="28"/>
      <c r="E35" s="28"/>
      <c r="F35" s="28"/>
      <c r="G35" s="28"/>
      <c r="H35" s="28"/>
      <c r="I35" s="217"/>
      <c r="J35" s="28"/>
      <c r="K35" s="28"/>
      <c r="L35" s="28" t="s">
        <v>34</v>
      </c>
      <c r="M35" s="28" t="s">
        <v>34</v>
      </c>
      <c r="N35" s="28"/>
      <c r="O35" s="28"/>
      <c r="Q35">
        <f>6/LINEST(J19:J20,P19:P20,FALSE)</f>
        <v>36080.144179746225</v>
      </c>
    </row>
    <row r="36" spans="1:17" x14ac:dyDescent="0.25">
      <c r="A36" s="28"/>
      <c r="B36" s="22" t="s">
        <v>641</v>
      </c>
      <c r="C36" s="189"/>
      <c r="D36" s="189"/>
      <c r="E36" s="189"/>
      <c r="F36" s="189"/>
      <c r="G36" s="189"/>
      <c r="H36" s="189"/>
      <c r="I36" s="189"/>
      <c r="J36" s="189"/>
      <c r="K36" s="189"/>
      <c r="L36" s="189" t="s">
        <v>34</v>
      </c>
      <c r="M36" s="28"/>
      <c r="N36" s="28"/>
      <c r="O36" s="28"/>
    </row>
    <row r="37" spans="1:17" x14ac:dyDescent="0.25">
      <c r="A37" s="28"/>
      <c r="B37" s="22" t="s">
        <v>679</v>
      </c>
      <c r="C37" s="28"/>
      <c r="D37" s="28"/>
      <c r="E37" s="28"/>
      <c r="F37" s="189"/>
      <c r="G37" s="189"/>
      <c r="H37" s="189"/>
      <c r="I37" s="189"/>
      <c r="J37" s="189"/>
      <c r="K37" s="189"/>
      <c r="L37" s="189"/>
      <c r="M37" s="28"/>
      <c r="N37" s="28"/>
      <c r="O37" s="28"/>
    </row>
    <row r="38" spans="1:17" x14ac:dyDescent="0.25">
      <c r="A38" s="28"/>
      <c r="B38" s="189"/>
      <c r="C38" s="189"/>
      <c r="D38" t="s">
        <v>687</v>
      </c>
      <c r="E38">
        <f>90*6/100*1000</f>
        <v>5400</v>
      </c>
      <c r="G38" s="28"/>
      <c r="H38" s="28"/>
      <c r="I38" s="217"/>
      <c r="J38" s="28"/>
      <c r="K38" s="28"/>
      <c r="L38" s="28"/>
      <c r="M38" s="28" t="s">
        <v>34</v>
      </c>
      <c r="N38" s="28"/>
      <c r="O38" s="28"/>
    </row>
    <row r="39" spans="1:17" x14ac:dyDescent="0.25">
      <c r="A39" s="28"/>
      <c r="B39" s="75"/>
      <c r="C39" s="28"/>
      <c r="D39" t="s">
        <v>688</v>
      </c>
      <c r="E39" s="28">
        <f>(2000-100+90)</f>
        <v>1990</v>
      </c>
      <c r="F39" s="28"/>
      <c r="G39" s="189"/>
      <c r="H39" s="189"/>
      <c r="I39" s="189"/>
      <c r="J39" s="189"/>
      <c r="K39" s="189"/>
      <c r="M39" s="28"/>
      <c r="N39" s="28"/>
      <c r="O39" s="28"/>
    </row>
    <row r="40" spans="1:17" x14ac:dyDescent="0.25">
      <c r="A40" s="28"/>
      <c r="B40" s="22"/>
      <c r="D40" t="s">
        <v>686</v>
      </c>
      <c r="E40">
        <f>E38/E39*1000</f>
        <v>2713.56783919598</v>
      </c>
      <c r="F40" s="189"/>
      <c r="G40" s="189"/>
      <c r="H40" s="189"/>
      <c r="I40" s="189"/>
      <c r="J40" s="189"/>
      <c r="K40" s="189"/>
      <c r="M40" s="28"/>
      <c r="N40" s="28"/>
      <c r="O40" s="28"/>
    </row>
    <row r="41" spans="1:17" x14ac:dyDescent="0.25">
      <c r="A41" s="28"/>
      <c r="G41" s="87"/>
      <c r="H41" s="87"/>
      <c r="I41" s="88"/>
      <c r="J41" s="87"/>
      <c r="K41" s="87"/>
      <c r="L41" s="28"/>
      <c r="M41" s="28"/>
      <c r="N41" s="28"/>
      <c r="O41" s="28"/>
    </row>
    <row r="42" spans="1:17" x14ac:dyDescent="0.25">
      <c r="A42" s="28"/>
      <c r="G42" s="28"/>
      <c r="H42" s="28"/>
      <c r="I42" s="217"/>
      <c r="J42" s="28"/>
      <c r="K42" s="28"/>
      <c r="N42" s="28"/>
      <c r="O42" s="28"/>
    </row>
    <row r="43" spans="1:17" x14ac:dyDescent="0.25">
      <c r="A43" s="28"/>
      <c r="B43" s="22"/>
      <c r="L43" s="28"/>
      <c r="N43" s="28"/>
      <c r="O43" s="28"/>
    </row>
    <row r="44" spans="1:17" x14ac:dyDescent="0.25">
      <c r="A44" s="28"/>
      <c r="B44" s="22"/>
      <c r="L44" s="28"/>
      <c r="N44" s="28"/>
      <c r="O44" s="28" t="s">
        <v>34</v>
      </c>
    </row>
    <row r="45" spans="1:17" x14ac:dyDescent="0.25">
      <c r="A45" s="28"/>
      <c r="B45" s="22"/>
      <c r="L45" s="28"/>
      <c r="M45" s="28"/>
      <c r="N45" s="28"/>
      <c r="O45" s="28"/>
    </row>
    <row r="46" spans="1:17" x14ac:dyDescent="0.25">
      <c r="B46" s="189"/>
      <c r="C46" s="64"/>
      <c r="D46" s="64"/>
      <c r="E46" s="64"/>
      <c r="F46" s="64"/>
      <c r="G46" s="64"/>
      <c r="H46" s="64"/>
      <c r="I46" s="64"/>
      <c r="J46" s="64"/>
      <c r="K46" s="64"/>
      <c r="L46" s="65"/>
      <c r="M46" s="28"/>
      <c r="N46" s="28"/>
      <c r="O46" s="28"/>
    </row>
    <row r="47" spans="1:17" x14ac:dyDescent="0.25">
      <c r="B47" s="189"/>
    </row>
    <row r="48" spans="1:17" x14ac:dyDescent="0.25">
      <c r="B48" s="22"/>
      <c r="C48" s="28"/>
      <c r="D48" s="28"/>
      <c r="E48" s="28"/>
      <c r="F48" s="28"/>
      <c r="G48" s="28"/>
      <c r="H48" s="28"/>
      <c r="I48" s="217"/>
      <c r="J48" s="28"/>
    </row>
    <row r="49" spans="2:15" x14ac:dyDescent="0.25">
      <c r="B49" s="189"/>
      <c r="C49" s="64"/>
      <c r="D49" s="64"/>
      <c r="E49" s="64"/>
      <c r="F49" s="64"/>
      <c r="G49" s="64"/>
      <c r="H49" s="64"/>
      <c r="I49" s="64"/>
      <c r="J49" s="64"/>
      <c r="K49" s="64"/>
      <c r="L49" s="65"/>
      <c r="O49" t="s">
        <v>34</v>
      </c>
    </row>
    <row r="50" spans="2:15" x14ac:dyDescent="0.25">
      <c r="B50" s="189"/>
      <c r="C50" s="189"/>
      <c r="D50" s="189"/>
      <c r="E50" s="189"/>
      <c r="F50" s="189"/>
      <c r="G50" s="189"/>
      <c r="H50" s="189"/>
      <c r="I50" s="189"/>
      <c r="J50" s="189"/>
      <c r="K50" s="189"/>
      <c r="N50" t="s">
        <v>34</v>
      </c>
    </row>
    <row r="51" spans="2:15" x14ac:dyDescent="0.25">
      <c r="B51" s="189"/>
      <c r="C51" s="189"/>
      <c r="D51" s="189"/>
      <c r="E51" s="189"/>
      <c r="F51" s="189"/>
      <c r="G51" s="189"/>
      <c r="H51" s="189"/>
      <c r="I51" s="189"/>
      <c r="J51" s="189"/>
      <c r="K51" s="189"/>
    </row>
    <row r="52" spans="2:15" x14ac:dyDescent="0.25">
      <c r="B52" s="22"/>
      <c r="C52" s="28"/>
      <c r="D52" s="28"/>
      <c r="E52" s="28"/>
      <c r="F52" s="28"/>
      <c r="G52" s="28"/>
      <c r="H52" s="217"/>
      <c r="I52" s="28"/>
      <c r="J52" s="189"/>
      <c r="K52" s="28"/>
    </row>
    <row r="53" spans="2:15" x14ac:dyDescent="0.25">
      <c r="N53" t="s">
        <v>34</v>
      </c>
    </row>
  </sheetData>
  <pageMargins left="0.7" right="0.7" top="0.75" bottom="0.75" header="0.3" footer="0.3"/>
  <pageSetup scale="60" orientation="landscape" verticalDpi="597" r:id="rId1"/>
  <drawing r:id="rId2"/>
  <legacyDrawing r:id="rId3"/>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tabColor rgb="FFFFC000"/>
    <pageSetUpPr fitToPage="1"/>
  </sheetPr>
  <dimension ref="A6:S53"/>
  <sheetViews>
    <sheetView zoomScale="90" zoomScaleNormal="90" workbookViewId="0"/>
  </sheetViews>
  <sheetFormatPr defaultRowHeight="15" x14ac:dyDescent="0.25"/>
  <cols>
    <col min="2" max="2" width="12.5703125" customWidth="1"/>
    <col min="4" max="4" width="11.7109375" bestFit="1" customWidth="1"/>
    <col min="9" max="9" width="10.28515625" bestFit="1" customWidth="1"/>
    <col min="10" max="10" width="12.7109375" bestFit="1" customWidth="1"/>
    <col min="11" max="11" width="8.42578125" bestFit="1" customWidth="1"/>
  </cols>
  <sheetData>
    <row r="6" spans="1:15" x14ac:dyDescent="0.25">
      <c r="A6" s="7" t="s">
        <v>12</v>
      </c>
      <c r="B6" s="28"/>
      <c r="C6" s="28"/>
      <c r="D6" s="28"/>
      <c r="E6" s="28"/>
      <c r="F6" s="28"/>
      <c r="G6" s="28"/>
      <c r="H6" s="28"/>
      <c r="I6" s="217"/>
      <c r="J6" s="28"/>
      <c r="K6" s="28"/>
      <c r="L6" s="28"/>
      <c r="M6" s="28"/>
      <c r="N6" s="28"/>
      <c r="O6" s="28"/>
    </row>
    <row r="7" spans="1:15" x14ac:dyDescent="0.25">
      <c r="A7" s="30" t="s">
        <v>13</v>
      </c>
      <c r="B7" s="30">
        <v>41779</v>
      </c>
    </row>
    <row r="8" spans="1:15" x14ac:dyDescent="0.25">
      <c r="A8" s="28" t="s">
        <v>14</v>
      </c>
      <c r="B8" s="28">
        <v>21</v>
      </c>
      <c r="C8" s="28" t="s">
        <v>649</v>
      </c>
      <c r="D8" s="28"/>
      <c r="E8" s="28"/>
      <c r="F8" s="28"/>
      <c r="G8" s="28"/>
      <c r="H8" s="28"/>
      <c r="I8" s="217"/>
      <c r="J8" s="28"/>
      <c r="K8" s="28" t="s">
        <v>34</v>
      </c>
      <c r="L8" s="28" t="s">
        <v>34</v>
      </c>
      <c r="M8" s="28"/>
      <c r="N8" s="28"/>
      <c r="O8" s="28"/>
    </row>
    <row r="9" spans="1:15" x14ac:dyDescent="0.25">
      <c r="A9" s="28" t="s">
        <v>15</v>
      </c>
      <c r="B9" s="28">
        <v>10</v>
      </c>
      <c r="C9" s="28" t="s">
        <v>240</v>
      </c>
      <c r="D9" s="28"/>
      <c r="E9" s="28"/>
      <c r="F9" s="28"/>
      <c r="G9" s="28"/>
      <c r="H9" s="28"/>
      <c r="I9" s="217"/>
      <c r="J9" s="28"/>
      <c r="K9" s="28"/>
      <c r="L9" s="28"/>
      <c r="M9" s="28"/>
      <c r="N9" s="28"/>
      <c r="O9" s="28"/>
    </row>
    <row r="10" spans="1:15" x14ac:dyDescent="0.25">
      <c r="A10" s="28" t="s">
        <v>16</v>
      </c>
      <c r="B10" s="31">
        <v>2000</v>
      </c>
      <c r="C10" s="28"/>
      <c r="D10" s="28"/>
      <c r="E10" s="28"/>
      <c r="F10" s="28"/>
      <c r="G10" s="28"/>
      <c r="H10" s="28"/>
      <c r="I10" s="217" t="s">
        <v>34</v>
      </c>
      <c r="J10" s="28" t="s">
        <v>34</v>
      </c>
      <c r="K10" s="28" t="s">
        <v>34</v>
      </c>
      <c r="L10" s="28" t="s">
        <v>34</v>
      </c>
      <c r="M10" s="28" t="s">
        <v>34</v>
      </c>
      <c r="N10" s="28" t="s">
        <v>34</v>
      </c>
      <c r="O10" s="28"/>
    </row>
    <row r="11" spans="1:15" x14ac:dyDescent="0.25">
      <c r="A11" s="28"/>
      <c r="B11" s="238">
        <v>200000000</v>
      </c>
      <c r="C11" s="28"/>
      <c r="D11" s="28"/>
      <c r="E11" s="28"/>
      <c r="F11" s="28"/>
      <c r="G11" s="28"/>
      <c r="H11" s="28"/>
      <c r="I11" s="217"/>
      <c r="J11" s="28"/>
      <c r="K11" s="28" t="s">
        <v>34</v>
      </c>
      <c r="L11" s="28"/>
      <c r="M11" s="28"/>
      <c r="N11" s="28"/>
      <c r="O11" s="28"/>
    </row>
    <row r="12" spans="1:15" x14ac:dyDescent="0.25">
      <c r="A12" s="28"/>
      <c r="B12" s="31">
        <v>90</v>
      </c>
      <c r="C12" s="28" t="s">
        <v>712</v>
      </c>
      <c r="D12" s="28"/>
      <c r="E12" s="28"/>
      <c r="F12" s="28"/>
      <c r="G12" s="28"/>
      <c r="H12" s="28"/>
      <c r="I12" s="217"/>
      <c r="J12" s="28"/>
      <c r="K12" s="28"/>
      <c r="L12" s="28"/>
      <c r="M12" s="28"/>
      <c r="N12" s="28"/>
      <c r="O12" s="28"/>
    </row>
    <row r="13" spans="1:15" x14ac:dyDescent="0.25">
      <c r="A13" s="28"/>
      <c r="B13" s="31">
        <v>6</v>
      </c>
      <c r="C13" s="28" t="s">
        <v>697</v>
      </c>
      <c r="D13" s="28"/>
      <c r="E13" s="28"/>
      <c r="F13" s="28"/>
      <c r="G13" s="28"/>
      <c r="H13" s="28"/>
      <c r="I13" s="241"/>
      <c r="J13" s="28"/>
      <c r="K13" s="28"/>
      <c r="L13" s="28"/>
      <c r="M13" s="28"/>
      <c r="N13" s="28"/>
      <c r="O13" s="28"/>
    </row>
    <row r="14" spans="1:15" x14ac:dyDescent="0.25">
      <c r="A14" s="28"/>
      <c r="B14" s="31">
        <v>200</v>
      </c>
      <c r="C14" s="87" t="s">
        <v>696</v>
      </c>
      <c r="D14" s="28"/>
      <c r="E14" s="28"/>
      <c r="F14" s="28"/>
      <c r="G14" s="28"/>
      <c r="H14" s="28"/>
      <c r="I14" s="241"/>
      <c r="J14" s="28"/>
      <c r="K14" s="28"/>
      <c r="L14" s="28"/>
      <c r="M14" s="28"/>
      <c r="N14" s="28"/>
      <c r="O14" s="28"/>
    </row>
    <row r="15" spans="1:15" x14ac:dyDescent="0.25">
      <c r="A15" s="28"/>
      <c r="B15" s="31">
        <v>15</v>
      </c>
      <c r="C15" s="87" t="s">
        <v>698</v>
      </c>
      <c r="D15" s="28"/>
      <c r="E15" s="28"/>
      <c r="F15" s="28"/>
      <c r="G15" s="28"/>
      <c r="H15" s="28"/>
      <c r="I15" s="241"/>
      <c r="J15" s="28"/>
      <c r="K15" s="28"/>
      <c r="L15" s="28"/>
      <c r="M15" s="28"/>
      <c r="N15" s="28"/>
      <c r="O15" s="28"/>
    </row>
    <row r="16" spans="1:15" x14ac:dyDescent="0.25">
      <c r="A16" s="28"/>
      <c r="B16" s="232">
        <f>(B12*B13/100*1000)/(B10+B12-B14+B15)*1000</f>
        <v>2834.6456692913384</v>
      </c>
      <c r="C16" s="28" t="s">
        <v>700</v>
      </c>
      <c r="D16" s="28"/>
      <c r="E16" s="28"/>
      <c r="F16" s="28"/>
      <c r="G16" s="28"/>
      <c r="H16" s="28"/>
      <c r="I16" s="241"/>
      <c r="J16" s="28"/>
      <c r="K16" s="28"/>
      <c r="L16" s="28"/>
      <c r="M16" s="28"/>
      <c r="N16" s="28"/>
      <c r="O16" s="28"/>
    </row>
    <row r="17" spans="1:19" ht="16.5" thickBot="1" x14ac:dyDescent="0.35">
      <c r="A17" s="28"/>
      <c r="B17" s="28" t="s">
        <v>714</v>
      </c>
      <c r="C17" s="28"/>
      <c r="D17" s="28"/>
      <c r="E17" s="28"/>
      <c r="F17" s="28"/>
      <c r="G17" s="28"/>
      <c r="H17" s="28"/>
      <c r="I17" s="217"/>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19" ht="15.75" thickBot="1" x14ac:dyDescent="0.3">
      <c r="A19" s="32">
        <v>0</v>
      </c>
      <c r="B19" s="23">
        <v>20.3</v>
      </c>
      <c r="C19" s="23">
        <v>6.92</v>
      </c>
      <c r="D19" s="23">
        <v>6.94</v>
      </c>
      <c r="E19" s="23">
        <v>0.5</v>
      </c>
      <c r="F19" s="23">
        <v>0.36</v>
      </c>
      <c r="G19" s="23">
        <v>359</v>
      </c>
      <c r="H19" s="23">
        <v>5220</v>
      </c>
      <c r="I19" s="33">
        <v>34000000</v>
      </c>
      <c r="J19" s="125">
        <f>LOG(I19)-LOG(I19)</f>
        <v>0</v>
      </c>
      <c r="K19" s="23" t="s">
        <v>26</v>
      </c>
      <c r="L19" s="23" t="s">
        <v>26</v>
      </c>
      <c r="M19" s="23" t="s">
        <v>26</v>
      </c>
      <c r="N19" s="23" t="s">
        <v>26</v>
      </c>
      <c r="O19" s="23" t="s">
        <v>26</v>
      </c>
      <c r="P19" s="233">
        <f>B$16*A19</f>
        <v>0</v>
      </c>
      <c r="Q19" s="233">
        <f>6/LINEST(J19:J20,P19:P20,FALSE)</f>
        <v>30721.750585371967</v>
      </c>
      <c r="R19" s="233">
        <f>Q19/3000</f>
        <v>10.240583528457321</v>
      </c>
      <c r="S19" s="233">
        <f>(J28/LINEST($J19:$J20,$P19:$P20,FALSE))/$B$16</f>
        <v>13.547438626188333</v>
      </c>
    </row>
    <row r="20" spans="1:19" ht="15.75" thickBot="1" x14ac:dyDescent="0.3">
      <c r="A20" s="32">
        <v>5</v>
      </c>
      <c r="B20" s="24">
        <v>20.2</v>
      </c>
      <c r="C20" s="24">
        <v>8.0500000000000007</v>
      </c>
      <c r="D20" s="24">
        <v>10.56</v>
      </c>
      <c r="E20" s="24">
        <v>800</v>
      </c>
      <c r="F20" s="24">
        <v>0.44</v>
      </c>
      <c r="G20" s="24">
        <v>140</v>
      </c>
      <c r="H20" s="24">
        <v>6070</v>
      </c>
      <c r="I20" s="33">
        <v>58000</v>
      </c>
      <c r="J20" s="125">
        <f>LOG(I19)-LOG(I20)</f>
        <v>2.7680509234793185</v>
      </c>
      <c r="K20" s="23" t="s">
        <v>26</v>
      </c>
      <c r="L20" s="23" t="s">
        <v>26</v>
      </c>
      <c r="M20" s="23" t="s">
        <v>26</v>
      </c>
      <c r="N20" s="23" t="s">
        <v>26</v>
      </c>
      <c r="O20" s="23" t="s">
        <v>26</v>
      </c>
      <c r="P20" s="233">
        <f>B$16*A20</f>
        <v>14173.228346456692</v>
      </c>
      <c r="Q20" s="228"/>
    </row>
    <row r="21" spans="1:19" ht="15.75" thickBot="1" x14ac:dyDescent="0.3">
      <c r="A21" s="32">
        <v>10</v>
      </c>
      <c r="B21" s="24">
        <v>19.899999999999999</v>
      </c>
      <c r="C21" s="24">
        <v>8.0500000000000007</v>
      </c>
      <c r="D21" s="24">
        <v>10.65</v>
      </c>
      <c r="E21" s="24">
        <v>8200</v>
      </c>
      <c r="F21" s="24">
        <v>0.45</v>
      </c>
      <c r="G21" s="24">
        <v>141</v>
      </c>
      <c r="H21" s="24">
        <v>5980</v>
      </c>
      <c r="I21" s="33">
        <v>0</v>
      </c>
      <c r="J21" s="24" t="s">
        <v>632</v>
      </c>
      <c r="K21" s="23" t="s">
        <v>26</v>
      </c>
      <c r="L21" s="23" t="s">
        <v>26</v>
      </c>
      <c r="M21" s="23" t="s">
        <v>26</v>
      </c>
      <c r="N21" s="23" t="s">
        <v>26</v>
      </c>
      <c r="O21" s="23" t="s">
        <v>26</v>
      </c>
      <c r="P21" s="233"/>
      <c r="Q21" s="228"/>
    </row>
    <row r="22" spans="1:19" ht="15.75" thickBot="1" x14ac:dyDescent="0.3">
      <c r="A22" s="32">
        <v>15</v>
      </c>
      <c r="B22" s="24">
        <v>19.7</v>
      </c>
      <c r="C22" s="24">
        <v>8.0500000000000007</v>
      </c>
      <c r="D22" s="24">
        <v>10.73</v>
      </c>
      <c r="E22" s="24">
        <v>2300</v>
      </c>
      <c r="F22" s="24">
        <v>0.34</v>
      </c>
      <c r="G22" s="24">
        <v>131</v>
      </c>
      <c r="H22" s="24">
        <v>5510</v>
      </c>
      <c r="I22" s="33">
        <v>0</v>
      </c>
      <c r="J22" s="24" t="s">
        <v>632</v>
      </c>
      <c r="K22" s="23" t="s">
        <v>26</v>
      </c>
      <c r="L22" s="23" t="s">
        <v>26</v>
      </c>
      <c r="M22" s="23" t="s">
        <v>26</v>
      </c>
      <c r="N22" s="23" t="s">
        <v>26</v>
      </c>
      <c r="O22" s="23" t="s">
        <v>26</v>
      </c>
      <c r="P22" s="233"/>
      <c r="Q22" s="228"/>
    </row>
    <row r="23" spans="1:19" ht="15.75" thickBot="1" x14ac:dyDescent="0.3">
      <c r="A23" s="32">
        <v>20</v>
      </c>
      <c r="B23" s="24">
        <v>19.399999999999999</v>
      </c>
      <c r="C23" s="24">
        <v>8.0500000000000007</v>
      </c>
      <c r="D23" s="24">
        <v>10.83</v>
      </c>
      <c r="E23" s="24">
        <v>3000</v>
      </c>
      <c r="F23" s="24">
        <v>0.32</v>
      </c>
      <c r="G23" s="24">
        <v>131</v>
      </c>
      <c r="H23" s="24">
        <v>5860</v>
      </c>
      <c r="I23" s="33">
        <v>0</v>
      </c>
      <c r="J23" s="24" t="s">
        <v>632</v>
      </c>
      <c r="K23" s="23" t="s">
        <v>26</v>
      </c>
      <c r="L23" s="23" t="s">
        <v>26</v>
      </c>
      <c r="M23" s="23" t="s">
        <v>26</v>
      </c>
      <c r="N23" s="23" t="s">
        <v>26</v>
      </c>
      <c r="O23" s="23" t="s">
        <v>26</v>
      </c>
      <c r="P23" s="233"/>
      <c r="Q23" s="228"/>
    </row>
    <row r="24" spans="1:19" ht="15.75" thickBot="1" x14ac:dyDescent="0.3">
      <c r="A24" s="32">
        <v>30</v>
      </c>
      <c r="B24" s="24">
        <v>18.899999999999999</v>
      </c>
      <c r="C24" s="24">
        <v>8.0500000000000007</v>
      </c>
      <c r="D24" s="24">
        <v>10.97</v>
      </c>
      <c r="E24" s="24">
        <v>3000</v>
      </c>
      <c r="F24" s="58">
        <v>0.28000000000000003</v>
      </c>
      <c r="G24" s="24">
        <v>141</v>
      </c>
      <c r="H24" s="24">
        <v>6930</v>
      </c>
      <c r="I24" s="33">
        <v>0</v>
      </c>
      <c r="J24" s="24" t="s">
        <v>632</v>
      </c>
      <c r="K24" s="23" t="s">
        <v>26</v>
      </c>
      <c r="L24" s="23" t="s">
        <v>26</v>
      </c>
      <c r="M24" s="23" t="s">
        <v>26</v>
      </c>
      <c r="N24" s="23" t="s">
        <v>26</v>
      </c>
      <c r="O24" s="23" t="s">
        <v>26</v>
      </c>
      <c r="P24" s="233"/>
      <c r="Q24" s="228"/>
    </row>
    <row r="25" spans="1:19" ht="15.75" thickBot="1" x14ac:dyDescent="0.3">
      <c r="A25" s="32">
        <v>40</v>
      </c>
      <c r="B25" s="24">
        <v>18.899999999999999</v>
      </c>
      <c r="C25" s="24">
        <v>8.0500000000000007</v>
      </c>
      <c r="D25" s="24">
        <v>11.14</v>
      </c>
      <c r="E25" s="24">
        <v>3000</v>
      </c>
      <c r="F25" s="58">
        <v>0.34</v>
      </c>
      <c r="G25" s="24">
        <v>136</v>
      </c>
      <c r="H25" s="24">
        <v>6700</v>
      </c>
      <c r="I25" s="33">
        <v>0</v>
      </c>
      <c r="J25" s="24" t="s">
        <v>632</v>
      </c>
      <c r="K25" s="23" t="s">
        <v>26</v>
      </c>
      <c r="L25" s="23" t="s">
        <v>26</v>
      </c>
      <c r="M25" s="23" t="s">
        <v>26</v>
      </c>
      <c r="N25" s="23" t="s">
        <v>26</v>
      </c>
      <c r="O25" s="23" t="s">
        <v>26</v>
      </c>
      <c r="P25" s="233"/>
      <c r="Q25" s="228"/>
    </row>
    <row r="26" spans="1:19" ht="15.75" thickBot="1" x14ac:dyDescent="0.3">
      <c r="A26" s="32">
        <v>50</v>
      </c>
      <c r="B26" s="24">
        <v>19.3</v>
      </c>
      <c r="C26" s="24">
        <v>8.0399999999999991</v>
      </c>
      <c r="D26" s="24">
        <v>11.26</v>
      </c>
      <c r="E26" s="24">
        <v>5000</v>
      </c>
      <c r="F26" s="58">
        <v>0.4</v>
      </c>
      <c r="G26" s="24">
        <v>130</v>
      </c>
      <c r="H26" s="24">
        <v>6820</v>
      </c>
      <c r="I26" s="33">
        <v>0</v>
      </c>
      <c r="J26" s="24" t="s">
        <v>632</v>
      </c>
      <c r="K26" s="23" t="s">
        <v>26</v>
      </c>
      <c r="L26" s="23" t="s">
        <v>26</v>
      </c>
      <c r="M26" s="23" t="s">
        <v>26</v>
      </c>
      <c r="N26" s="23" t="s">
        <v>26</v>
      </c>
      <c r="O26" s="23" t="s">
        <v>26</v>
      </c>
    </row>
    <row r="27" spans="1:19" ht="15.75" thickBot="1" x14ac:dyDescent="0.3">
      <c r="A27" s="32">
        <v>60</v>
      </c>
      <c r="B27" s="24">
        <v>19.8</v>
      </c>
      <c r="C27" s="24">
        <v>8.0399999999999991</v>
      </c>
      <c r="D27" s="24">
        <v>11.52</v>
      </c>
      <c r="E27" s="24">
        <v>4000</v>
      </c>
      <c r="F27" s="58">
        <v>0.45</v>
      </c>
      <c r="G27" s="24">
        <v>137</v>
      </c>
      <c r="H27" s="24">
        <v>6700</v>
      </c>
      <c r="I27" s="33">
        <v>0</v>
      </c>
      <c r="J27" s="24" t="s">
        <v>632</v>
      </c>
      <c r="K27" s="23" t="s">
        <v>26</v>
      </c>
      <c r="L27" s="23" t="s">
        <v>26</v>
      </c>
      <c r="M27" s="23" t="s">
        <v>26</v>
      </c>
      <c r="N27" s="23" t="s">
        <v>26</v>
      </c>
      <c r="O27" s="23" t="s">
        <v>26</v>
      </c>
    </row>
    <row r="28" spans="1:19" x14ac:dyDescent="0.25">
      <c r="A28" s="142"/>
      <c r="B28" s="38">
        <f>AVERAGE(B20:B21)</f>
        <v>20.049999999999997</v>
      </c>
      <c r="C28" s="38">
        <f>AVERAGE(C20:C21)</f>
        <v>8.0500000000000007</v>
      </c>
      <c r="D28" s="38"/>
      <c r="E28" s="38"/>
      <c r="F28" s="145"/>
      <c r="G28" s="38"/>
      <c r="H28" s="38"/>
      <c r="I28" s="279"/>
      <c r="J28" s="38">
        <v>7.5</v>
      </c>
      <c r="K28" s="38"/>
      <c r="L28" s="38"/>
      <c r="M28" s="38"/>
      <c r="N28" s="38"/>
      <c r="O28" s="38"/>
    </row>
    <row r="29" spans="1:19" x14ac:dyDescent="0.25">
      <c r="A29" s="189" t="s">
        <v>636</v>
      </c>
      <c r="N29" s="28"/>
      <c r="O29" s="28"/>
    </row>
    <row r="30" spans="1:19" x14ac:dyDescent="0.25">
      <c r="A30" s="28" t="s">
        <v>140</v>
      </c>
      <c r="B30" s="28"/>
      <c r="C30" s="28"/>
      <c r="D30" s="28"/>
      <c r="E30" s="28"/>
      <c r="F30" s="28"/>
      <c r="G30" s="28"/>
      <c r="H30" s="28"/>
      <c r="I30" s="217"/>
      <c r="J30" s="28"/>
      <c r="K30" s="28"/>
      <c r="L30" s="28"/>
      <c r="M30" s="28"/>
      <c r="N30" s="28"/>
      <c r="O30" s="28"/>
    </row>
    <row r="31" spans="1:19" x14ac:dyDescent="0.25">
      <c r="A31" s="28"/>
      <c r="B31" s="28" t="s">
        <v>141</v>
      </c>
      <c r="C31" s="28"/>
      <c r="D31" s="28"/>
      <c r="E31" s="28"/>
      <c r="F31" s="28"/>
      <c r="G31" s="28"/>
      <c r="H31" s="28"/>
      <c r="I31" s="217"/>
      <c r="J31" s="28"/>
      <c r="K31" s="28"/>
      <c r="L31" s="28"/>
      <c r="M31" s="28"/>
      <c r="N31" s="28" t="s">
        <v>34</v>
      </c>
      <c r="O31" s="28"/>
    </row>
    <row r="32" spans="1:19" x14ac:dyDescent="0.25">
      <c r="A32" s="28" t="s">
        <v>264</v>
      </c>
      <c r="B32" s="28"/>
      <c r="C32" s="28"/>
      <c r="D32" s="28"/>
      <c r="E32" s="28"/>
      <c r="F32" s="28"/>
      <c r="G32" s="28"/>
      <c r="H32" s="28"/>
      <c r="I32" s="217"/>
      <c r="J32" s="28" t="s">
        <v>34</v>
      </c>
      <c r="K32" s="28"/>
      <c r="L32" s="28" t="s">
        <v>34</v>
      </c>
      <c r="M32" s="28"/>
      <c r="N32" s="28"/>
      <c r="O32" s="28"/>
    </row>
    <row r="33" spans="1:17" x14ac:dyDescent="0.25">
      <c r="A33" s="59"/>
      <c r="F33" s="28"/>
      <c r="G33" s="28"/>
      <c r="H33" s="28"/>
      <c r="I33" s="217"/>
      <c r="J33" s="28"/>
      <c r="K33" s="28"/>
      <c r="L33" s="28" t="s">
        <v>34</v>
      </c>
      <c r="M33" s="28" t="s">
        <v>34</v>
      </c>
      <c r="N33" s="28"/>
      <c r="O33" s="28"/>
    </row>
    <row r="34" spans="1:17" x14ac:dyDescent="0.25">
      <c r="A34" s="19" t="s">
        <v>28</v>
      </c>
      <c r="B34" s="28"/>
      <c r="C34" s="28"/>
      <c r="D34" s="28"/>
      <c r="E34" s="28"/>
      <c r="F34" s="28"/>
      <c r="G34" s="28"/>
      <c r="H34" s="28"/>
      <c r="I34" s="217"/>
      <c r="J34" s="28"/>
      <c r="K34" s="28" t="s">
        <v>34</v>
      </c>
      <c r="L34" s="28"/>
      <c r="M34" s="28" t="s">
        <v>34</v>
      </c>
      <c r="N34" s="28"/>
      <c r="O34" s="28"/>
      <c r="Q34" t="s">
        <v>690</v>
      </c>
    </row>
    <row r="35" spans="1:17" x14ac:dyDescent="0.25">
      <c r="A35" s="28"/>
      <c r="B35" s="22"/>
      <c r="C35" s="28"/>
      <c r="D35" s="28"/>
      <c r="E35" s="28"/>
      <c r="F35" s="28"/>
      <c r="G35" s="28"/>
      <c r="H35" s="28"/>
      <c r="I35" s="217"/>
      <c r="J35" s="28"/>
      <c r="K35" s="28"/>
      <c r="L35" s="28" t="s">
        <v>34</v>
      </c>
      <c r="M35" s="28" t="s">
        <v>34</v>
      </c>
      <c r="N35" s="28"/>
      <c r="O35" s="28"/>
      <c r="Q35">
        <f>6/LINEST(J19:J20,P19:P20,FALSE)</f>
        <v>30721.750585371967</v>
      </c>
    </row>
    <row r="36" spans="1:17" x14ac:dyDescent="0.25">
      <c r="A36" s="28"/>
      <c r="B36" s="189" t="s">
        <v>713</v>
      </c>
      <c r="C36" s="189"/>
      <c r="D36" s="189"/>
      <c r="E36" s="189"/>
      <c r="F36" s="189"/>
      <c r="G36" s="189"/>
      <c r="H36" s="189"/>
      <c r="I36" s="189"/>
      <c r="J36" s="189"/>
      <c r="K36" s="189"/>
      <c r="L36" s="189" t="s">
        <v>34</v>
      </c>
      <c r="M36" s="28"/>
      <c r="N36" s="28"/>
      <c r="O36" s="28"/>
    </row>
    <row r="37" spans="1:17" x14ac:dyDescent="0.25">
      <c r="A37" s="28"/>
      <c r="B37" s="189"/>
      <c r="C37" s="189"/>
      <c r="D37" s="189"/>
      <c r="E37" s="189"/>
      <c r="F37" s="189"/>
      <c r="G37" s="189"/>
      <c r="H37" s="189"/>
      <c r="I37" s="189"/>
      <c r="J37" s="189"/>
      <c r="K37" s="189"/>
      <c r="L37" s="189"/>
      <c r="M37" s="28"/>
      <c r="N37" s="28"/>
      <c r="O37" s="28"/>
    </row>
    <row r="38" spans="1:17" x14ac:dyDescent="0.25">
      <c r="A38" s="28"/>
      <c r="B38" s="22" t="s">
        <v>642</v>
      </c>
      <c r="C38" s="28"/>
      <c r="D38" s="28"/>
      <c r="E38" s="28"/>
      <c r="F38" s="28"/>
      <c r="G38" s="28"/>
      <c r="H38" s="28"/>
      <c r="I38" s="217"/>
      <c r="J38" s="28"/>
      <c r="K38" s="28"/>
      <c r="L38" s="28"/>
      <c r="M38" s="28" t="s">
        <v>34</v>
      </c>
      <c r="N38" s="28"/>
      <c r="O38" s="28"/>
    </row>
    <row r="39" spans="1:17" x14ac:dyDescent="0.25">
      <c r="A39" s="28"/>
      <c r="B39" s="189"/>
      <c r="C39" s="189"/>
      <c r="D39" s="189"/>
      <c r="E39" s="189"/>
      <c r="F39" s="189"/>
      <c r="G39" s="189"/>
      <c r="H39" s="189"/>
      <c r="I39" s="189"/>
      <c r="J39" s="189"/>
      <c r="K39" s="189"/>
      <c r="M39" s="28"/>
      <c r="N39" s="28"/>
      <c r="O39" s="28"/>
    </row>
    <row r="40" spans="1:17" x14ac:dyDescent="0.25">
      <c r="A40" s="28"/>
      <c r="B40" s="22" t="s">
        <v>679</v>
      </c>
      <c r="C40" s="28"/>
      <c r="D40" s="28"/>
      <c r="E40" s="28"/>
      <c r="F40" s="28"/>
      <c r="G40" s="189"/>
      <c r="H40" s="189"/>
      <c r="I40" s="189"/>
      <c r="J40" s="189"/>
      <c r="K40" s="189"/>
      <c r="M40" s="28"/>
      <c r="N40" s="28"/>
      <c r="O40" s="28"/>
    </row>
    <row r="41" spans="1:17" x14ac:dyDescent="0.25">
      <c r="A41" s="28"/>
      <c r="B41" s="189"/>
      <c r="C41" s="189"/>
      <c r="D41" t="s">
        <v>687</v>
      </c>
      <c r="E41">
        <f>90*6/100*1000</f>
        <v>5400</v>
      </c>
      <c r="F41" s="189"/>
      <c r="G41" s="87"/>
      <c r="H41" s="87"/>
      <c r="I41" s="88"/>
      <c r="J41" s="87"/>
      <c r="K41" s="87"/>
      <c r="L41" s="28"/>
      <c r="M41" s="28"/>
      <c r="N41" s="28"/>
      <c r="O41" s="28"/>
    </row>
    <row r="42" spans="1:17" x14ac:dyDescent="0.25">
      <c r="A42" s="28"/>
      <c r="B42" s="75"/>
      <c r="C42" s="28"/>
      <c r="D42" t="s">
        <v>688</v>
      </c>
      <c r="E42" s="28">
        <f>(2000+15-200+90)</f>
        <v>1905</v>
      </c>
      <c r="F42" s="19" t="s">
        <v>691</v>
      </c>
      <c r="G42" s="28"/>
      <c r="H42" s="28"/>
      <c r="I42" s="217"/>
      <c r="J42" s="28"/>
      <c r="K42" s="28"/>
      <c r="N42" s="28"/>
      <c r="O42" s="28"/>
    </row>
    <row r="43" spans="1:17" x14ac:dyDescent="0.25">
      <c r="A43" s="28"/>
      <c r="B43" s="22"/>
      <c r="D43" t="s">
        <v>686</v>
      </c>
      <c r="E43">
        <f>E41/E42*1000</f>
        <v>2834.6456692913384</v>
      </c>
      <c r="L43" s="28"/>
      <c r="N43" s="28"/>
      <c r="O43" s="28"/>
    </row>
    <row r="44" spans="1:17" x14ac:dyDescent="0.25">
      <c r="A44" s="28"/>
      <c r="B44" s="22"/>
      <c r="L44" s="28"/>
      <c r="N44" s="28"/>
      <c r="O44" s="28" t="s">
        <v>34</v>
      </c>
    </row>
    <row r="45" spans="1:17" x14ac:dyDescent="0.25">
      <c r="A45" s="28"/>
      <c r="B45" s="22"/>
      <c r="L45" s="28"/>
      <c r="M45" s="28"/>
      <c r="N45" s="28"/>
      <c r="O45" s="28"/>
    </row>
    <row r="46" spans="1:17" x14ac:dyDescent="0.25">
      <c r="B46" s="189"/>
      <c r="C46" s="64"/>
      <c r="D46" s="64"/>
      <c r="E46" s="64"/>
      <c r="F46" s="64"/>
      <c r="G46" s="64"/>
      <c r="H46" s="64"/>
      <c r="I46" s="64"/>
      <c r="J46" s="64"/>
      <c r="K46" s="64"/>
      <c r="L46" s="65"/>
      <c r="M46" s="28"/>
      <c r="N46" s="28"/>
      <c r="O46" s="28"/>
    </row>
    <row r="47" spans="1:17" x14ac:dyDescent="0.25">
      <c r="B47" s="189"/>
    </row>
    <row r="48" spans="1:17" x14ac:dyDescent="0.25">
      <c r="B48" s="22"/>
      <c r="C48" s="28"/>
      <c r="D48" s="28"/>
      <c r="E48" s="28"/>
      <c r="F48" s="28"/>
      <c r="G48" s="28"/>
      <c r="H48" s="28"/>
      <c r="I48" s="217"/>
      <c r="J48" s="28"/>
    </row>
    <row r="49" spans="2:15" x14ac:dyDescent="0.25">
      <c r="B49" s="189"/>
      <c r="C49" s="64"/>
      <c r="D49" s="64"/>
      <c r="E49" s="64"/>
      <c r="F49" s="64"/>
      <c r="G49" s="64"/>
      <c r="H49" s="64"/>
      <c r="I49" s="64"/>
      <c r="J49" s="64"/>
      <c r="K49" s="64"/>
      <c r="L49" s="65"/>
      <c r="O49" t="s">
        <v>34</v>
      </c>
    </row>
    <row r="50" spans="2:15" x14ac:dyDescent="0.25">
      <c r="B50" s="189"/>
      <c r="C50" s="189"/>
      <c r="D50" s="189"/>
      <c r="E50" s="189"/>
      <c r="F50" s="189"/>
      <c r="G50" s="189"/>
      <c r="H50" s="189"/>
      <c r="I50" s="189"/>
      <c r="J50" s="189"/>
      <c r="K50" s="189"/>
      <c r="N50" t="s">
        <v>34</v>
      </c>
    </row>
    <row r="51" spans="2:15" x14ac:dyDescent="0.25">
      <c r="B51" s="189"/>
      <c r="C51" s="189"/>
      <c r="D51" s="189"/>
      <c r="E51" s="189"/>
      <c r="F51" s="189"/>
      <c r="G51" s="189"/>
      <c r="H51" s="189"/>
      <c r="I51" s="189"/>
      <c r="J51" s="189"/>
      <c r="K51" s="189"/>
    </row>
    <row r="52" spans="2:15" x14ac:dyDescent="0.25">
      <c r="B52" s="22"/>
      <c r="C52" s="28"/>
      <c r="D52" s="28"/>
      <c r="E52" s="28"/>
      <c r="F52" s="28"/>
      <c r="G52" s="28"/>
      <c r="H52" s="217"/>
      <c r="I52" s="28"/>
      <c r="J52" s="189"/>
      <c r="K52" s="28"/>
    </row>
    <row r="53" spans="2:15" x14ac:dyDescent="0.25">
      <c r="N53" t="s">
        <v>34</v>
      </c>
    </row>
  </sheetData>
  <pageMargins left="0.7" right="0.7" top="0.75" bottom="0.75" header="0.3" footer="0.3"/>
  <pageSetup scale="60" orientation="landscape" verticalDpi="597" r:id="rId1"/>
  <drawing r:id="rId2"/>
  <legacyDrawing r:id="rId3"/>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tabColor rgb="FFFFC000"/>
    <pageSetUpPr fitToPage="1"/>
  </sheetPr>
  <dimension ref="A6:S51"/>
  <sheetViews>
    <sheetView zoomScale="90" zoomScaleNormal="90" workbookViewId="0"/>
  </sheetViews>
  <sheetFormatPr defaultRowHeight="15" x14ac:dyDescent="0.25"/>
  <cols>
    <col min="2" max="2" width="10.5703125" customWidth="1"/>
    <col min="9" max="9" width="10.28515625" bestFit="1" customWidth="1"/>
    <col min="11" max="11" width="8.42578125" bestFit="1" customWidth="1"/>
  </cols>
  <sheetData>
    <row r="6" spans="1:15" x14ac:dyDescent="0.25">
      <c r="A6" s="7" t="s">
        <v>12</v>
      </c>
      <c r="B6" s="28"/>
      <c r="C6" s="28"/>
      <c r="D6" s="28"/>
      <c r="E6" s="28"/>
      <c r="F6" s="28"/>
      <c r="G6" s="28"/>
      <c r="H6" s="28"/>
      <c r="I6" s="217"/>
      <c r="J6" s="28"/>
      <c r="K6" s="28"/>
      <c r="L6" s="28"/>
      <c r="M6" s="28"/>
      <c r="N6" s="28"/>
      <c r="O6" s="28"/>
    </row>
    <row r="7" spans="1:15" x14ac:dyDescent="0.25">
      <c r="A7" s="30" t="s">
        <v>13</v>
      </c>
      <c r="B7" s="30">
        <v>41786</v>
      </c>
    </row>
    <row r="8" spans="1:15" x14ac:dyDescent="0.25">
      <c r="A8" s="28" t="s">
        <v>14</v>
      </c>
      <c r="B8" s="28">
        <v>21</v>
      </c>
      <c r="C8" s="28" t="s">
        <v>650</v>
      </c>
      <c r="D8" s="28"/>
      <c r="E8" s="28"/>
      <c r="F8" s="28"/>
      <c r="G8" s="28"/>
      <c r="H8" s="28"/>
      <c r="I8" s="217"/>
      <c r="J8" s="28"/>
      <c r="K8" s="28" t="s">
        <v>34</v>
      </c>
      <c r="L8" s="28" t="s">
        <v>34</v>
      </c>
      <c r="M8" s="28"/>
      <c r="N8" s="28"/>
      <c r="O8" s="28"/>
    </row>
    <row r="9" spans="1:15" x14ac:dyDescent="0.25">
      <c r="A9" s="28" t="s">
        <v>15</v>
      </c>
      <c r="B9" s="28">
        <v>10</v>
      </c>
      <c r="C9" s="28" t="s">
        <v>240</v>
      </c>
      <c r="D9" s="28"/>
      <c r="E9" s="28"/>
      <c r="F9" s="28"/>
      <c r="G9" s="28"/>
      <c r="H9" s="28"/>
      <c r="I9" s="217"/>
      <c r="J9" s="28"/>
      <c r="K9" s="28"/>
      <c r="L9" s="28"/>
      <c r="M9" s="28"/>
      <c r="N9" s="28"/>
      <c r="O9" s="28"/>
    </row>
    <row r="10" spans="1:15" x14ac:dyDescent="0.25">
      <c r="A10" s="28" t="s">
        <v>16</v>
      </c>
      <c r="B10" s="31">
        <v>1500</v>
      </c>
      <c r="C10" s="28" t="s">
        <v>715</v>
      </c>
      <c r="D10" s="28"/>
      <c r="E10" s="28"/>
      <c r="F10" s="28"/>
      <c r="G10" s="28"/>
      <c r="H10" s="28"/>
      <c r="I10" s="217" t="s">
        <v>34</v>
      </c>
      <c r="J10" s="28" t="s">
        <v>34</v>
      </c>
      <c r="K10" s="28" t="s">
        <v>34</v>
      </c>
      <c r="L10" s="28" t="s">
        <v>34</v>
      </c>
      <c r="M10" s="28" t="s">
        <v>34</v>
      </c>
      <c r="N10" s="28" t="s">
        <v>34</v>
      </c>
      <c r="O10" s="28"/>
    </row>
    <row r="11" spans="1:15" x14ac:dyDescent="0.25">
      <c r="A11" s="28"/>
      <c r="B11" s="238">
        <v>200000000</v>
      </c>
      <c r="C11" s="28" t="s">
        <v>708</v>
      </c>
      <c r="D11" s="28"/>
      <c r="E11" s="28"/>
      <c r="F11" s="28"/>
      <c r="G11" s="28"/>
      <c r="H11" s="28"/>
      <c r="I11" s="217"/>
      <c r="J11" s="28"/>
      <c r="K11" s="28" t="s">
        <v>34</v>
      </c>
      <c r="L11" s="28"/>
      <c r="M11" s="28"/>
      <c r="N11" s="28"/>
      <c r="O11" s="28"/>
    </row>
    <row r="12" spans="1:15" x14ac:dyDescent="0.25">
      <c r="A12" s="28"/>
      <c r="B12" s="31">
        <v>65</v>
      </c>
      <c r="C12" s="28" t="s">
        <v>712</v>
      </c>
      <c r="D12" s="28"/>
      <c r="E12" s="28"/>
      <c r="F12" s="28"/>
      <c r="G12" s="28"/>
      <c r="H12" s="28"/>
      <c r="I12" s="217"/>
      <c r="J12" s="28"/>
      <c r="K12" s="28"/>
      <c r="L12" s="28"/>
      <c r="M12" s="28"/>
      <c r="N12" s="28"/>
      <c r="O12" s="28"/>
    </row>
    <row r="13" spans="1:15" x14ac:dyDescent="0.25">
      <c r="A13" s="28"/>
      <c r="B13" s="31">
        <v>6</v>
      </c>
      <c r="C13" s="28" t="s">
        <v>697</v>
      </c>
      <c r="D13" s="28"/>
      <c r="E13" s="28"/>
      <c r="F13" s="28"/>
      <c r="G13" s="28"/>
      <c r="H13" s="28"/>
      <c r="I13" s="241"/>
      <c r="J13" s="28"/>
      <c r="K13" s="28"/>
      <c r="L13" s="28"/>
      <c r="M13" s="28"/>
      <c r="N13" s="28"/>
      <c r="O13" s="28"/>
    </row>
    <row r="14" spans="1:15" x14ac:dyDescent="0.25">
      <c r="A14" s="28"/>
      <c r="B14" s="31">
        <v>200</v>
      </c>
      <c r="C14" s="87" t="s">
        <v>696</v>
      </c>
      <c r="D14" s="28"/>
      <c r="E14" s="28"/>
      <c r="F14" s="28"/>
      <c r="G14" s="28"/>
      <c r="H14" s="28"/>
      <c r="I14" s="241"/>
      <c r="J14" s="28"/>
      <c r="K14" s="28"/>
      <c r="L14" s="28"/>
      <c r="M14" s="28"/>
      <c r="N14" s="28"/>
      <c r="O14" s="28"/>
    </row>
    <row r="15" spans="1:15" x14ac:dyDescent="0.25">
      <c r="A15" s="28"/>
      <c r="B15" s="31">
        <v>15</v>
      </c>
      <c r="C15" s="87" t="s">
        <v>698</v>
      </c>
      <c r="D15" s="28"/>
      <c r="E15" s="28"/>
      <c r="F15" s="28"/>
      <c r="G15" s="28"/>
      <c r="H15" s="28"/>
      <c r="I15" s="241"/>
      <c r="J15" s="28"/>
      <c r="K15" s="28"/>
      <c r="L15" s="28"/>
      <c r="M15" s="28"/>
      <c r="N15" s="28"/>
      <c r="O15" s="28"/>
    </row>
    <row r="16" spans="1:15" x14ac:dyDescent="0.25">
      <c r="A16" s="28"/>
      <c r="B16" s="232">
        <f>(B12*B13/100*1000)/(B10+B12-B14+B15)*1000</f>
        <v>2826.0869565217395</v>
      </c>
      <c r="C16" s="28" t="s">
        <v>700</v>
      </c>
      <c r="D16" s="28"/>
      <c r="E16" s="28"/>
      <c r="F16" s="28"/>
      <c r="G16" s="28"/>
      <c r="H16" s="28"/>
      <c r="I16" s="241"/>
      <c r="J16" s="28"/>
      <c r="K16" s="28"/>
      <c r="L16" s="28"/>
      <c r="M16" s="28"/>
      <c r="N16" s="28"/>
      <c r="O16" s="28"/>
    </row>
    <row r="17" spans="1:19" ht="16.5" thickBot="1" x14ac:dyDescent="0.35">
      <c r="A17" s="28"/>
      <c r="B17" s="28" t="s">
        <v>637</v>
      </c>
      <c r="C17" s="28"/>
      <c r="D17" s="28"/>
      <c r="E17" s="28"/>
      <c r="F17" s="28"/>
      <c r="G17" s="28"/>
      <c r="H17" s="28"/>
      <c r="I17" s="217"/>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19" ht="15.75" thickBot="1" x14ac:dyDescent="0.3">
      <c r="A19" s="32">
        <v>0</v>
      </c>
      <c r="B19" s="23">
        <v>19.7</v>
      </c>
      <c r="C19" s="23">
        <v>6.75</v>
      </c>
      <c r="D19" s="23">
        <v>6.88</v>
      </c>
      <c r="E19" s="23">
        <v>0.89</v>
      </c>
      <c r="F19" s="23">
        <v>0.46</v>
      </c>
      <c r="G19" s="23">
        <v>150</v>
      </c>
      <c r="H19" s="23"/>
      <c r="I19" s="33">
        <v>21000000</v>
      </c>
      <c r="J19" s="125">
        <f>LOG(I19)-LOG(I19)</f>
        <v>0</v>
      </c>
      <c r="K19" s="23" t="s">
        <v>26</v>
      </c>
      <c r="L19" s="23" t="s">
        <v>26</v>
      </c>
      <c r="M19" s="23" t="s">
        <v>26</v>
      </c>
      <c r="N19" s="23" t="s">
        <v>26</v>
      </c>
      <c r="O19" s="23" t="s">
        <v>26</v>
      </c>
      <c r="P19" s="233">
        <f>B$16*A19</f>
        <v>0</v>
      </c>
      <c r="Q19" s="233">
        <f>6/LINEST(J19:J20,P19:P20,FALSE)</f>
        <v>21438.358618019189</v>
      </c>
      <c r="R19" s="233">
        <f>Q19/3000</f>
        <v>7.1461195393397299</v>
      </c>
      <c r="S19" s="233">
        <f>(J26/LINEST($J19:$J20,$P19:$P20,FALSE))/$B$16</f>
        <v>9.2294882358087733</v>
      </c>
    </row>
    <row r="20" spans="1:19" ht="15.75" thickBot="1" x14ac:dyDescent="0.3">
      <c r="A20" s="32">
        <v>3</v>
      </c>
      <c r="B20" s="24">
        <v>20.100000000000001</v>
      </c>
      <c r="C20" s="24">
        <v>8.0299999999999994</v>
      </c>
      <c r="D20" s="24">
        <v>10.96</v>
      </c>
      <c r="E20" s="24">
        <v>800</v>
      </c>
      <c r="F20" s="24">
        <v>0.31</v>
      </c>
      <c r="G20" s="24">
        <v>146</v>
      </c>
      <c r="H20" s="24"/>
      <c r="I20" s="33">
        <v>89000</v>
      </c>
      <c r="J20" s="125">
        <f>LOG(I19)-LOG(I20)</f>
        <v>2.3728292880890072</v>
      </c>
      <c r="K20" s="23" t="s">
        <v>26</v>
      </c>
      <c r="L20" s="23" t="s">
        <v>26</v>
      </c>
      <c r="M20" s="23" t="s">
        <v>26</v>
      </c>
      <c r="N20" s="23" t="s">
        <v>26</v>
      </c>
      <c r="O20" s="23" t="s">
        <v>26</v>
      </c>
      <c r="P20" s="233">
        <f>B$16*A20</f>
        <v>8478.2608695652179</v>
      </c>
      <c r="Q20" s="228"/>
    </row>
    <row r="21" spans="1:19" ht="15.75" thickBot="1" x14ac:dyDescent="0.3">
      <c r="A21" s="32">
        <v>5</v>
      </c>
      <c r="B21" s="24">
        <v>20</v>
      </c>
      <c r="C21" s="24">
        <v>8.0500000000000007</v>
      </c>
      <c r="D21" s="24">
        <v>10.98</v>
      </c>
      <c r="E21" s="24">
        <v>1900</v>
      </c>
      <c r="F21" s="24">
        <v>0.32</v>
      </c>
      <c r="G21" s="24">
        <v>142</v>
      </c>
      <c r="H21" s="24"/>
      <c r="I21" s="33">
        <v>0</v>
      </c>
      <c r="J21" s="24" t="s">
        <v>613</v>
      </c>
      <c r="K21" s="23" t="s">
        <v>26</v>
      </c>
      <c r="L21" s="23" t="s">
        <v>26</v>
      </c>
      <c r="M21" s="23" t="s">
        <v>26</v>
      </c>
      <c r="N21" s="23" t="s">
        <v>26</v>
      </c>
      <c r="O21" s="23" t="s">
        <v>26</v>
      </c>
      <c r="P21" s="233"/>
      <c r="Q21" s="228"/>
    </row>
    <row r="22" spans="1:19" ht="15.75" thickBot="1" x14ac:dyDescent="0.3">
      <c r="A22" s="32">
        <v>10</v>
      </c>
      <c r="B22" s="24">
        <v>20</v>
      </c>
      <c r="C22" s="24">
        <v>8.0500000000000007</v>
      </c>
      <c r="D22" s="24">
        <v>11.04</v>
      </c>
      <c r="E22" s="24">
        <v>1900</v>
      </c>
      <c r="F22" s="24">
        <v>0.26</v>
      </c>
      <c r="G22" s="24">
        <v>140</v>
      </c>
      <c r="H22" s="24"/>
      <c r="I22" s="33">
        <v>0</v>
      </c>
      <c r="J22" s="24" t="s">
        <v>613</v>
      </c>
      <c r="K22" s="23" t="s">
        <v>26</v>
      </c>
      <c r="L22" s="23" t="s">
        <v>26</v>
      </c>
      <c r="M22" s="23" t="s">
        <v>26</v>
      </c>
      <c r="N22" s="23" t="s">
        <v>26</v>
      </c>
      <c r="O22" s="23" t="s">
        <v>26</v>
      </c>
      <c r="P22" s="233"/>
      <c r="Q22" s="228"/>
    </row>
    <row r="23" spans="1:19" ht="15.75" thickBot="1" x14ac:dyDescent="0.3">
      <c r="A23" s="32">
        <v>15</v>
      </c>
      <c r="B23" s="24">
        <v>20.100000000000001</v>
      </c>
      <c r="C23" s="24">
        <v>8.0500000000000007</v>
      </c>
      <c r="D23" s="24">
        <v>11.16</v>
      </c>
      <c r="E23" s="24">
        <v>3200</v>
      </c>
      <c r="F23" s="24">
        <v>0.28000000000000003</v>
      </c>
      <c r="G23" s="24">
        <v>135</v>
      </c>
      <c r="H23" s="24"/>
      <c r="I23" s="33">
        <v>0</v>
      </c>
      <c r="J23" s="24" t="s">
        <v>613</v>
      </c>
      <c r="K23" s="23" t="s">
        <v>26</v>
      </c>
      <c r="L23" s="23" t="s">
        <v>26</v>
      </c>
      <c r="M23" s="23" t="s">
        <v>26</v>
      </c>
      <c r="N23" s="23" t="s">
        <v>26</v>
      </c>
      <c r="O23" s="23" t="s">
        <v>26</v>
      </c>
      <c r="P23" s="233"/>
      <c r="Q23" s="228"/>
    </row>
    <row r="24" spans="1:19" ht="15.75" thickBot="1" x14ac:dyDescent="0.3">
      <c r="A24" s="32">
        <v>20</v>
      </c>
      <c r="B24" s="24">
        <v>20.100000000000001</v>
      </c>
      <c r="C24" s="24">
        <v>8.0500000000000007</v>
      </c>
      <c r="D24" s="24">
        <v>11.26</v>
      </c>
      <c r="E24" s="24">
        <v>3800</v>
      </c>
      <c r="F24" s="58">
        <v>0.32</v>
      </c>
      <c r="G24" s="24">
        <v>140</v>
      </c>
      <c r="H24" s="24"/>
      <c r="I24" s="33">
        <v>0</v>
      </c>
      <c r="J24" s="24" t="s">
        <v>613</v>
      </c>
      <c r="K24" s="23" t="s">
        <v>26</v>
      </c>
      <c r="L24" s="23" t="s">
        <v>26</v>
      </c>
      <c r="M24" s="23" t="s">
        <v>26</v>
      </c>
      <c r="N24" s="23" t="s">
        <v>26</v>
      </c>
      <c r="O24" s="23" t="s">
        <v>26</v>
      </c>
      <c r="P24" s="233"/>
      <c r="Q24" s="228"/>
    </row>
    <row r="25" spans="1:19" ht="15.75" thickBot="1" x14ac:dyDescent="0.3">
      <c r="A25" s="32">
        <v>30</v>
      </c>
      <c r="B25" s="24">
        <v>20.2</v>
      </c>
      <c r="C25" s="24">
        <v>8.0399999999999991</v>
      </c>
      <c r="D25" s="24">
        <v>11.48</v>
      </c>
      <c r="E25" s="24">
        <v>2700</v>
      </c>
      <c r="F25" s="58">
        <v>0.11</v>
      </c>
      <c r="G25" s="24">
        <v>137</v>
      </c>
      <c r="H25" s="24"/>
      <c r="I25" s="33">
        <v>0</v>
      </c>
      <c r="J25" s="24" t="s">
        <v>613</v>
      </c>
      <c r="K25" s="23" t="s">
        <v>26</v>
      </c>
      <c r="L25" s="23" t="s">
        <v>26</v>
      </c>
      <c r="M25" s="23" t="s">
        <v>26</v>
      </c>
      <c r="N25" s="23" t="s">
        <v>26</v>
      </c>
      <c r="O25" s="23" t="s">
        <v>26</v>
      </c>
      <c r="P25" s="233"/>
      <c r="Q25" s="228"/>
    </row>
    <row r="26" spans="1:19" x14ac:dyDescent="0.25">
      <c r="A26" s="142"/>
      <c r="B26" s="38">
        <f>AVERAGE(B20)</f>
        <v>20.100000000000001</v>
      </c>
      <c r="C26" s="38">
        <f>AVERAGE(C20)</f>
        <v>8.0299999999999994</v>
      </c>
      <c r="D26" s="38"/>
      <c r="E26" s="38"/>
      <c r="F26" s="145"/>
      <c r="G26" s="38"/>
      <c r="H26" s="38"/>
      <c r="I26" s="279"/>
      <c r="J26" s="38">
        <v>7.3</v>
      </c>
      <c r="K26" s="38"/>
      <c r="L26" s="38"/>
      <c r="M26" s="38"/>
      <c r="N26" s="38"/>
      <c r="O26" s="38"/>
      <c r="P26" s="280"/>
      <c r="Q26" s="228"/>
    </row>
    <row r="27" spans="1:19" x14ac:dyDescent="0.25">
      <c r="A27" s="189" t="s">
        <v>636</v>
      </c>
      <c r="N27" s="28"/>
      <c r="O27" s="28"/>
    </row>
    <row r="28" spans="1:19" x14ac:dyDescent="0.25">
      <c r="A28" s="28" t="s">
        <v>140</v>
      </c>
      <c r="B28" s="28"/>
      <c r="C28" s="28"/>
      <c r="D28" s="28"/>
      <c r="E28" s="28"/>
      <c r="F28" s="28"/>
      <c r="G28" s="28"/>
      <c r="H28" s="28"/>
      <c r="I28" s="217"/>
      <c r="J28" s="28"/>
      <c r="K28" s="28"/>
      <c r="L28" s="28"/>
      <c r="M28" s="28"/>
      <c r="N28" s="28"/>
      <c r="O28" s="28"/>
      <c r="Q28" t="s">
        <v>689</v>
      </c>
    </row>
    <row r="29" spans="1:19" x14ac:dyDescent="0.25">
      <c r="A29" s="28"/>
      <c r="B29" s="28" t="s">
        <v>141</v>
      </c>
      <c r="C29" s="28"/>
      <c r="D29" s="28"/>
      <c r="E29" s="28"/>
      <c r="F29" s="28"/>
      <c r="G29" s="28"/>
      <c r="H29" s="28"/>
      <c r="I29" s="217"/>
      <c r="J29" s="28"/>
      <c r="K29" s="28"/>
      <c r="L29" s="28"/>
      <c r="M29" s="28"/>
      <c r="N29" s="28" t="s">
        <v>34</v>
      </c>
      <c r="O29" s="28"/>
      <c r="Q29">
        <f>6/LINEST(J19:J20,P19:P20,FALSE)</f>
        <v>21438.358618019189</v>
      </c>
    </row>
    <row r="30" spans="1:19" x14ac:dyDescent="0.25">
      <c r="A30" s="28" t="s">
        <v>264</v>
      </c>
      <c r="B30" s="28"/>
      <c r="C30" s="28"/>
      <c r="D30" s="28"/>
      <c r="E30" s="28"/>
      <c r="F30" s="28"/>
      <c r="G30" s="28"/>
      <c r="H30" s="28"/>
      <c r="I30" s="217"/>
      <c r="J30" s="28" t="s">
        <v>34</v>
      </c>
      <c r="K30" s="28"/>
      <c r="L30" s="28" t="s">
        <v>34</v>
      </c>
      <c r="M30" s="28"/>
      <c r="N30" s="28"/>
      <c r="O30" s="28"/>
    </row>
    <row r="31" spans="1:19" x14ac:dyDescent="0.25">
      <c r="A31" s="59"/>
      <c r="F31" s="28"/>
      <c r="G31" s="28"/>
      <c r="H31" s="28"/>
      <c r="I31" s="217"/>
      <c r="J31" s="28"/>
      <c r="K31" s="28"/>
      <c r="L31" s="28" t="s">
        <v>34</v>
      </c>
      <c r="M31" s="28" t="s">
        <v>34</v>
      </c>
      <c r="N31" s="28"/>
      <c r="O31" s="28"/>
    </row>
    <row r="32" spans="1:19" x14ac:dyDescent="0.25">
      <c r="A32" s="19" t="s">
        <v>28</v>
      </c>
      <c r="B32" s="28"/>
      <c r="C32" s="28"/>
      <c r="D32" s="28"/>
      <c r="E32" s="28"/>
      <c r="F32" s="28"/>
      <c r="G32" s="28"/>
      <c r="H32" s="28"/>
      <c r="I32" s="217"/>
      <c r="J32" s="28"/>
      <c r="K32" s="28" t="s">
        <v>34</v>
      </c>
      <c r="L32" s="28"/>
      <c r="M32" s="28" t="s">
        <v>34</v>
      </c>
      <c r="N32" s="28"/>
      <c r="O32" s="28"/>
    </row>
    <row r="33" spans="1:15" x14ac:dyDescent="0.25">
      <c r="A33" s="28"/>
      <c r="B33" s="22"/>
      <c r="C33" s="28"/>
      <c r="D33" s="28"/>
      <c r="E33" s="28"/>
      <c r="F33" s="28"/>
      <c r="G33" s="28"/>
      <c r="H33" s="28"/>
      <c r="I33" s="217"/>
      <c r="J33" s="28"/>
      <c r="K33" s="28"/>
      <c r="L33" s="28" t="s">
        <v>34</v>
      </c>
      <c r="M33" s="28" t="s">
        <v>34</v>
      </c>
      <c r="N33" s="28"/>
      <c r="O33" s="28"/>
    </row>
    <row r="34" spans="1:15" x14ac:dyDescent="0.25">
      <c r="A34" s="28"/>
      <c r="B34" s="189" t="s">
        <v>640</v>
      </c>
      <c r="C34" s="189"/>
      <c r="D34" s="189"/>
      <c r="E34" s="189"/>
      <c r="F34" s="189"/>
      <c r="G34" s="189"/>
      <c r="H34" s="189"/>
      <c r="I34" s="189"/>
      <c r="J34" s="189"/>
      <c r="K34" s="189"/>
      <c r="L34" s="189" t="s">
        <v>34</v>
      </c>
      <c r="M34" s="28"/>
      <c r="N34" s="28"/>
      <c r="O34" s="28"/>
    </row>
    <row r="35" spans="1:15" x14ac:dyDescent="0.25">
      <c r="A35" s="28"/>
      <c r="B35" s="189"/>
      <c r="C35" s="189"/>
      <c r="D35" s="189"/>
      <c r="E35" s="189"/>
      <c r="F35" s="189"/>
      <c r="G35" s="189"/>
      <c r="H35" s="189"/>
      <c r="I35" s="189"/>
      <c r="J35" s="189"/>
      <c r="K35" s="189"/>
      <c r="L35" s="189"/>
      <c r="M35" s="28"/>
      <c r="N35" s="28"/>
      <c r="O35" s="28"/>
    </row>
    <row r="36" spans="1:15" x14ac:dyDescent="0.25">
      <c r="A36" s="28"/>
      <c r="B36" s="22" t="s">
        <v>642</v>
      </c>
      <c r="C36" s="28"/>
      <c r="D36" s="28"/>
      <c r="E36" s="28"/>
      <c r="F36" s="28"/>
      <c r="G36" s="28"/>
      <c r="H36" s="28"/>
      <c r="I36" s="217"/>
      <c r="J36" s="28"/>
      <c r="K36" s="28"/>
      <c r="L36" s="28"/>
      <c r="M36" s="28" t="s">
        <v>34</v>
      </c>
      <c r="N36" s="28"/>
      <c r="O36" s="28"/>
    </row>
    <row r="37" spans="1:15" x14ac:dyDescent="0.25">
      <c r="A37" s="28"/>
      <c r="B37" s="189" t="s">
        <v>643</v>
      </c>
      <c r="C37" s="189"/>
      <c r="D37" s="189"/>
      <c r="E37" s="189"/>
      <c r="F37" s="189"/>
      <c r="G37" s="189"/>
      <c r="H37" s="189"/>
      <c r="I37" s="189"/>
      <c r="J37" s="189"/>
      <c r="K37" s="189"/>
      <c r="M37" s="28"/>
      <c r="N37" s="28"/>
      <c r="O37" s="28"/>
    </row>
    <row r="38" spans="1:15" x14ac:dyDescent="0.25">
      <c r="A38" s="28"/>
      <c r="B38" s="189"/>
      <c r="C38" s="189"/>
      <c r="D38" s="189"/>
      <c r="E38" s="189"/>
      <c r="F38" s="189"/>
      <c r="G38" s="189"/>
      <c r="H38" s="189"/>
      <c r="I38" s="189"/>
      <c r="J38" s="189"/>
      <c r="K38" s="189"/>
      <c r="M38" s="28"/>
      <c r="N38" s="28"/>
      <c r="O38" s="28"/>
    </row>
    <row r="39" spans="1:15" x14ac:dyDescent="0.25">
      <c r="A39" s="28"/>
      <c r="B39" s="22" t="s">
        <v>692</v>
      </c>
      <c r="C39" s="28"/>
      <c r="D39" s="28"/>
      <c r="E39" s="28"/>
      <c r="F39" s="87"/>
      <c r="G39" s="87"/>
      <c r="H39" s="87"/>
      <c r="I39" s="88"/>
      <c r="J39" s="87"/>
      <c r="K39" s="87"/>
      <c r="L39" s="28"/>
      <c r="M39" s="28"/>
      <c r="N39" s="28"/>
      <c r="O39" s="28"/>
    </row>
    <row r="40" spans="1:15" x14ac:dyDescent="0.25">
      <c r="A40" s="28"/>
      <c r="B40" s="189"/>
      <c r="C40" s="189"/>
      <c r="D40" t="s">
        <v>687</v>
      </c>
      <c r="E40">
        <f>90*6/100*1000</f>
        <v>5400</v>
      </c>
      <c r="F40" s="28"/>
      <c r="G40" s="28"/>
      <c r="H40" s="28"/>
      <c r="I40" s="217"/>
      <c r="J40" s="28"/>
      <c r="K40" s="28"/>
      <c r="N40" s="28"/>
      <c r="O40" s="28"/>
    </row>
    <row r="41" spans="1:15" x14ac:dyDescent="0.25">
      <c r="A41" s="28"/>
      <c r="B41" s="75"/>
      <c r="C41" s="28"/>
      <c r="D41" t="s">
        <v>688</v>
      </c>
      <c r="E41" s="28">
        <f>(2000+15-200)</f>
        <v>1815</v>
      </c>
      <c r="L41" s="28"/>
      <c r="N41" s="28"/>
      <c r="O41" s="28"/>
    </row>
    <row r="42" spans="1:15" x14ac:dyDescent="0.25">
      <c r="A42" s="28"/>
      <c r="B42" s="22"/>
      <c r="D42" t="s">
        <v>686</v>
      </c>
      <c r="E42">
        <f>E40/E41*1000</f>
        <v>2975.2066115702478</v>
      </c>
      <c r="L42" s="28"/>
      <c r="N42" s="28"/>
      <c r="O42" s="28" t="s">
        <v>34</v>
      </c>
    </row>
    <row r="43" spans="1:15" x14ac:dyDescent="0.25">
      <c r="A43" s="28"/>
      <c r="B43" s="22"/>
      <c r="L43" s="28"/>
      <c r="M43" s="28"/>
      <c r="N43" s="28"/>
      <c r="O43" s="28"/>
    </row>
    <row r="44" spans="1:15" x14ac:dyDescent="0.25">
      <c r="B44" s="189"/>
      <c r="C44" s="64"/>
      <c r="D44" s="64"/>
      <c r="E44" s="64"/>
      <c r="F44" s="64"/>
      <c r="G44" s="64"/>
      <c r="H44" s="64"/>
      <c r="I44" s="64"/>
      <c r="J44" s="64"/>
      <c r="K44" s="64"/>
      <c r="L44" s="65"/>
      <c r="M44" s="28"/>
      <c r="N44" s="28"/>
      <c r="O44" s="28"/>
    </row>
    <row r="45" spans="1:15" x14ac:dyDescent="0.25">
      <c r="B45" s="189"/>
    </row>
    <row r="46" spans="1:15" x14ac:dyDescent="0.25">
      <c r="B46" s="22"/>
      <c r="C46" s="28"/>
      <c r="D46" s="28"/>
      <c r="E46" s="28"/>
      <c r="F46" s="28"/>
      <c r="G46" s="28"/>
      <c r="H46" s="28"/>
      <c r="I46" s="217"/>
      <c r="J46" s="28"/>
    </row>
    <row r="47" spans="1:15" x14ac:dyDescent="0.25">
      <c r="B47" s="189"/>
      <c r="C47" s="64"/>
      <c r="D47" s="64"/>
      <c r="E47" s="64"/>
      <c r="F47" s="64"/>
      <c r="G47" s="64"/>
      <c r="H47" s="64"/>
      <c r="I47" s="64"/>
      <c r="J47" s="64"/>
      <c r="K47" s="64"/>
      <c r="L47" s="65"/>
      <c r="O47" t="s">
        <v>34</v>
      </c>
    </row>
    <row r="48" spans="1:15" x14ac:dyDescent="0.25">
      <c r="B48" s="189"/>
      <c r="C48" s="189"/>
      <c r="D48" s="189"/>
      <c r="E48" s="189"/>
      <c r="F48" s="189"/>
      <c r="G48" s="189"/>
      <c r="H48" s="189"/>
      <c r="I48" s="189"/>
      <c r="J48" s="189"/>
      <c r="K48" s="189"/>
      <c r="N48" t="s">
        <v>34</v>
      </c>
    </row>
    <row r="49" spans="2:14" x14ac:dyDescent="0.25">
      <c r="B49" s="189"/>
      <c r="C49" s="189"/>
      <c r="D49" s="189"/>
      <c r="E49" s="189"/>
      <c r="F49" s="189"/>
      <c r="G49" s="189"/>
      <c r="H49" s="189"/>
      <c r="I49" s="189"/>
      <c r="J49" s="189"/>
      <c r="K49" s="189"/>
    </row>
    <row r="50" spans="2:14" x14ac:dyDescent="0.25">
      <c r="B50" s="22"/>
      <c r="C50" s="28"/>
      <c r="D50" s="28"/>
      <c r="E50" s="28"/>
      <c r="F50" s="28"/>
      <c r="G50" s="28"/>
      <c r="H50" s="217"/>
      <c r="I50" s="28"/>
      <c r="J50" s="189"/>
      <c r="K50" s="28"/>
    </row>
    <row r="51" spans="2:14" x14ac:dyDescent="0.25">
      <c r="N51" t="s">
        <v>34</v>
      </c>
    </row>
  </sheetData>
  <pageMargins left="0.7" right="0.7" top="0.75" bottom="0.75" header="0.3" footer="0.3"/>
  <pageSetup scale="62" orientation="landscape" verticalDpi="597" r:id="rId1"/>
  <drawing r:id="rId2"/>
  <legacyDrawing r:id="rId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tabColor rgb="FFFFC000"/>
    <pageSetUpPr fitToPage="1"/>
  </sheetPr>
  <dimension ref="A6:S50"/>
  <sheetViews>
    <sheetView zoomScale="90" zoomScaleNormal="90" workbookViewId="0"/>
  </sheetViews>
  <sheetFormatPr defaultRowHeight="15" x14ac:dyDescent="0.25"/>
  <cols>
    <col min="2" max="2" width="10" customWidth="1"/>
    <col min="9" max="9" width="10.28515625" bestFit="1" customWidth="1"/>
    <col min="11" max="11" width="8.42578125" bestFit="1" customWidth="1"/>
  </cols>
  <sheetData>
    <row r="6" spans="1:15" x14ac:dyDescent="0.25">
      <c r="A6" s="7" t="s">
        <v>12</v>
      </c>
      <c r="B6" s="28"/>
      <c r="C6" s="28"/>
      <c r="D6" s="28"/>
      <c r="E6" s="28"/>
      <c r="F6" s="28"/>
      <c r="G6" s="28"/>
      <c r="H6" s="28"/>
      <c r="I6" s="217"/>
      <c r="J6" s="28"/>
      <c r="K6" s="28"/>
      <c r="L6" s="28"/>
      <c r="M6" s="28"/>
      <c r="N6" s="28"/>
      <c r="O6" s="28"/>
    </row>
    <row r="7" spans="1:15" x14ac:dyDescent="0.25">
      <c r="A7" s="30" t="s">
        <v>13</v>
      </c>
      <c r="B7" s="30">
        <v>41781</v>
      </c>
    </row>
    <row r="8" spans="1:15" x14ac:dyDescent="0.25">
      <c r="A8" s="28" t="s">
        <v>14</v>
      </c>
      <c r="B8" s="28">
        <v>21</v>
      </c>
      <c r="C8" s="28" t="s">
        <v>644</v>
      </c>
      <c r="D8" s="28"/>
      <c r="E8" s="28"/>
      <c r="F8" s="28"/>
      <c r="G8" s="28"/>
      <c r="H8" s="28"/>
      <c r="I8" s="217"/>
      <c r="J8" s="28"/>
      <c r="K8" s="28" t="s">
        <v>34</v>
      </c>
      <c r="L8" s="28" t="s">
        <v>34</v>
      </c>
      <c r="M8" s="28"/>
      <c r="N8" s="28"/>
      <c r="O8" s="28"/>
    </row>
    <row r="9" spans="1:15" x14ac:dyDescent="0.25">
      <c r="A9" s="28" t="s">
        <v>15</v>
      </c>
      <c r="B9" s="28">
        <v>10</v>
      </c>
      <c r="C9" s="28" t="s">
        <v>240</v>
      </c>
      <c r="D9" s="28"/>
      <c r="E9" s="28"/>
      <c r="F9" s="28"/>
      <c r="G9" s="28"/>
      <c r="H9" s="28"/>
      <c r="I9" s="217"/>
      <c r="J9" s="28"/>
      <c r="K9" s="28"/>
      <c r="L9" s="28"/>
      <c r="M9" s="28"/>
      <c r="N9" s="28"/>
      <c r="O9" s="28"/>
    </row>
    <row r="10" spans="1:15" x14ac:dyDescent="0.25">
      <c r="A10" s="28" t="s">
        <v>16</v>
      </c>
      <c r="B10" s="87">
        <v>1900</v>
      </c>
      <c r="C10" s="31" t="s">
        <v>638</v>
      </c>
      <c r="D10" s="28"/>
      <c r="E10" s="28"/>
      <c r="F10" s="28"/>
      <c r="G10" s="28"/>
      <c r="H10" s="28"/>
      <c r="I10" s="217" t="s">
        <v>34</v>
      </c>
      <c r="J10" s="28" t="s">
        <v>34</v>
      </c>
      <c r="K10" s="28" t="s">
        <v>34</v>
      </c>
      <c r="L10" s="28" t="s">
        <v>34</v>
      </c>
      <c r="M10" s="28" t="s">
        <v>34</v>
      </c>
      <c r="N10" s="28" t="s">
        <v>34</v>
      </c>
      <c r="O10" s="28"/>
    </row>
    <row r="11" spans="1:15" x14ac:dyDescent="0.25">
      <c r="A11" s="28"/>
      <c r="B11" s="243">
        <v>200000000</v>
      </c>
      <c r="C11" s="31" t="s">
        <v>58</v>
      </c>
      <c r="D11" s="28"/>
      <c r="E11" s="28"/>
      <c r="F11" s="28"/>
      <c r="G11" s="28"/>
      <c r="H11" s="28"/>
      <c r="I11" s="217"/>
      <c r="J11" s="28"/>
      <c r="K11" s="28" t="s">
        <v>34</v>
      </c>
      <c r="L11" s="28"/>
      <c r="M11" s="28"/>
      <c r="N11" s="28"/>
      <c r="O11" s="28"/>
    </row>
    <row r="12" spans="1:15" x14ac:dyDescent="0.25">
      <c r="A12" s="28"/>
      <c r="B12" s="155">
        <v>90</v>
      </c>
      <c r="C12" s="31" t="s">
        <v>635</v>
      </c>
      <c r="D12" s="28"/>
      <c r="E12" s="28"/>
      <c r="F12" s="28"/>
      <c r="G12" s="28"/>
      <c r="H12" s="28"/>
      <c r="I12" s="217"/>
      <c r="J12" s="28"/>
      <c r="K12" s="28"/>
      <c r="L12" s="28"/>
      <c r="M12" s="28"/>
      <c r="N12" s="28"/>
      <c r="O12" s="28"/>
    </row>
    <row r="13" spans="1:15" x14ac:dyDescent="0.25">
      <c r="A13" s="28"/>
      <c r="B13" s="31">
        <v>6</v>
      </c>
      <c r="C13" s="28" t="s">
        <v>697</v>
      </c>
      <c r="D13" s="28"/>
      <c r="E13" s="28"/>
      <c r="F13" s="28"/>
      <c r="G13" s="28"/>
      <c r="H13" s="28"/>
      <c r="I13" s="241"/>
      <c r="J13" s="28"/>
      <c r="K13" s="28"/>
      <c r="L13" s="28"/>
      <c r="M13" s="28"/>
      <c r="N13" s="28"/>
      <c r="O13" s="28"/>
    </row>
    <row r="14" spans="1:15" x14ac:dyDescent="0.25">
      <c r="A14" s="28"/>
      <c r="B14" s="31">
        <v>200</v>
      </c>
      <c r="C14" s="87" t="s">
        <v>696</v>
      </c>
      <c r="D14" s="28"/>
      <c r="E14" s="28"/>
      <c r="F14" s="28"/>
      <c r="G14" s="28"/>
      <c r="H14" s="28"/>
      <c r="I14" s="241"/>
      <c r="J14" s="28"/>
      <c r="K14" s="28"/>
      <c r="L14" s="28"/>
      <c r="M14" s="28"/>
      <c r="N14" s="28"/>
      <c r="O14" s="28"/>
    </row>
    <row r="15" spans="1:15" x14ac:dyDescent="0.25">
      <c r="A15" s="28"/>
      <c r="B15" s="31">
        <v>90</v>
      </c>
      <c r="C15" s="87" t="s">
        <v>698</v>
      </c>
      <c r="D15" s="28"/>
      <c r="E15" s="28"/>
      <c r="F15" s="28"/>
      <c r="G15" s="28"/>
      <c r="H15" s="28"/>
      <c r="I15" s="241"/>
      <c r="J15" s="28"/>
      <c r="K15" s="28"/>
      <c r="L15" s="28"/>
      <c r="M15" s="28"/>
      <c r="N15" s="28"/>
      <c r="O15" s="28"/>
    </row>
    <row r="16" spans="1:15" x14ac:dyDescent="0.25">
      <c r="A16" s="28"/>
      <c r="B16" s="232">
        <f>(B12*B13/100*1000)/(B10+B12-B14+B15)*1000</f>
        <v>2872.3404255319151</v>
      </c>
      <c r="C16" s="28" t="s">
        <v>700</v>
      </c>
      <c r="D16" s="28"/>
      <c r="E16" s="28"/>
      <c r="F16" s="28"/>
      <c r="G16" s="28"/>
      <c r="H16" s="28"/>
      <c r="I16" s="241"/>
      <c r="J16" s="28"/>
      <c r="K16" s="28"/>
      <c r="L16" s="28"/>
      <c r="M16" s="28"/>
      <c r="N16" s="28"/>
      <c r="O16" s="28"/>
    </row>
    <row r="17" spans="1:19" ht="16.5" thickBot="1" x14ac:dyDescent="0.35">
      <c r="A17" s="28"/>
      <c r="B17" s="28" t="s">
        <v>716</v>
      </c>
      <c r="C17" s="28"/>
      <c r="D17" s="28"/>
      <c r="E17" s="28"/>
      <c r="F17" s="28"/>
      <c r="G17" s="28"/>
      <c r="H17" s="28"/>
      <c r="I17" s="217"/>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19" ht="15.75" thickBot="1" x14ac:dyDescent="0.3">
      <c r="A19" s="32">
        <v>0</v>
      </c>
      <c r="B19" s="23">
        <v>21</v>
      </c>
      <c r="C19" s="23">
        <v>6.74</v>
      </c>
      <c r="D19" s="23">
        <v>6.79</v>
      </c>
      <c r="E19" s="23">
        <v>0.5</v>
      </c>
      <c r="F19" s="23">
        <v>0.38</v>
      </c>
      <c r="G19" s="23">
        <v>131</v>
      </c>
      <c r="H19" s="23"/>
      <c r="I19" s="33">
        <v>49000000</v>
      </c>
      <c r="J19" s="125">
        <f>LOG(I19)-LOG(I19)</f>
        <v>0</v>
      </c>
      <c r="K19" s="23" t="s">
        <v>26</v>
      </c>
      <c r="L19" s="23" t="s">
        <v>26</v>
      </c>
      <c r="M19" s="23" t="s">
        <v>26</v>
      </c>
      <c r="N19" s="23" t="s">
        <v>26</v>
      </c>
      <c r="O19" s="23" t="s">
        <v>26</v>
      </c>
      <c r="P19" s="233">
        <f>B$16*A19</f>
        <v>0</v>
      </c>
      <c r="Q19" s="233">
        <f>6/LINEST(J19:J20,P19:P20,FALSE)</f>
        <v>16560.608945640175</v>
      </c>
      <c r="R19" s="233">
        <f>Q19/3000</f>
        <v>5.5202029818800584</v>
      </c>
      <c r="S19" s="233">
        <f>(J26/LINEST($J19:$J20,$P19:$P20,FALSE))/$B$16</f>
        <v>7.3991165153421967</v>
      </c>
    </row>
    <row r="20" spans="1:19" ht="15.75" thickBot="1" x14ac:dyDescent="0.3">
      <c r="A20" s="32">
        <v>3</v>
      </c>
      <c r="B20" s="24">
        <v>20.9</v>
      </c>
      <c r="C20" s="24">
        <v>7.04</v>
      </c>
      <c r="D20" s="24">
        <v>7.09</v>
      </c>
      <c r="E20" s="24">
        <v>2000</v>
      </c>
      <c r="F20" s="24">
        <v>0.24</v>
      </c>
      <c r="G20" s="24">
        <v>186</v>
      </c>
      <c r="H20" s="24"/>
      <c r="I20" s="33">
        <v>37000</v>
      </c>
      <c r="J20" s="125">
        <f>LOG(I19)-LOG(I20)</f>
        <v>3.1219943559615189</v>
      </c>
      <c r="K20" s="23" t="s">
        <v>26</v>
      </c>
      <c r="L20" s="23" t="s">
        <v>26</v>
      </c>
      <c r="M20" s="23" t="s">
        <v>26</v>
      </c>
      <c r="N20" s="23" t="s">
        <v>26</v>
      </c>
      <c r="O20" s="23" t="s">
        <v>26</v>
      </c>
      <c r="P20" s="233">
        <f>B$16*A20</f>
        <v>8617.0212765957458</v>
      </c>
    </row>
    <row r="21" spans="1:19" ht="15.75" thickBot="1" x14ac:dyDescent="0.3">
      <c r="A21" s="32">
        <v>5</v>
      </c>
      <c r="B21" s="24">
        <v>20.7</v>
      </c>
      <c r="C21" s="24">
        <v>7.04</v>
      </c>
      <c r="D21" s="24">
        <v>7.06</v>
      </c>
      <c r="E21" s="24">
        <v>1600</v>
      </c>
      <c r="F21" s="24">
        <v>0.33</v>
      </c>
      <c r="G21" s="24">
        <v>183</v>
      </c>
      <c r="H21" s="24"/>
      <c r="I21" s="33">
        <v>0</v>
      </c>
      <c r="J21" s="24" t="s">
        <v>639</v>
      </c>
      <c r="K21" s="23" t="s">
        <v>26</v>
      </c>
      <c r="L21" s="23" t="s">
        <v>26</v>
      </c>
      <c r="M21" s="23" t="s">
        <v>26</v>
      </c>
      <c r="N21" s="23" t="s">
        <v>26</v>
      </c>
      <c r="O21" s="23" t="s">
        <v>26</v>
      </c>
    </row>
    <row r="22" spans="1:19" ht="15.75" thickBot="1" x14ac:dyDescent="0.3">
      <c r="A22" s="32">
        <v>10</v>
      </c>
      <c r="B22" s="24">
        <v>20.399999999999999</v>
      </c>
      <c r="C22" s="24">
        <v>7.04</v>
      </c>
      <c r="D22" s="24">
        <v>7.1</v>
      </c>
      <c r="E22" s="24">
        <v>1900</v>
      </c>
      <c r="F22" s="24">
        <v>0.39</v>
      </c>
      <c r="G22" s="24">
        <v>185</v>
      </c>
      <c r="H22" s="24"/>
      <c r="I22" s="33">
        <v>0</v>
      </c>
      <c r="J22" s="24" t="s">
        <v>639</v>
      </c>
      <c r="K22" s="23" t="s">
        <v>26</v>
      </c>
      <c r="L22" s="23" t="s">
        <v>26</v>
      </c>
      <c r="M22" s="23" t="s">
        <v>26</v>
      </c>
      <c r="N22" s="23" t="s">
        <v>26</v>
      </c>
      <c r="O22" s="23" t="s">
        <v>26</v>
      </c>
    </row>
    <row r="23" spans="1:19" ht="15.75" thickBot="1" x14ac:dyDescent="0.3">
      <c r="A23" s="32">
        <v>15</v>
      </c>
      <c r="B23" s="24">
        <v>20.100000000000001</v>
      </c>
      <c r="C23" s="24">
        <v>7.04</v>
      </c>
      <c r="D23" s="24">
        <v>7.1</v>
      </c>
      <c r="E23" s="24">
        <v>1400</v>
      </c>
      <c r="F23" s="24">
        <v>0.14000000000000001</v>
      </c>
      <c r="G23" s="24">
        <v>185</v>
      </c>
      <c r="H23" s="24"/>
      <c r="I23" s="33">
        <v>0</v>
      </c>
      <c r="J23" s="24" t="s">
        <v>639</v>
      </c>
      <c r="K23" s="23" t="s">
        <v>26</v>
      </c>
      <c r="L23" s="23" t="s">
        <v>26</v>
      </c>
      <c r="M23" s="23" t="s">
        <v>26</v>
      </c>
      <c r="N23" s="23" t="s">
        <v>26</v>
      </c>
      <c r="O23" s="23" t="s">
        <v>26</v>
      </c>
    </row>
    <row r="24" spans="1:19" ht="15.75" thickBot="1" x14ac:dyDescent="0.3">
      <c r="A24" s="32">
        <v>20</v>
      </c>
      <c r="B24" s="24">
        <v>19.899999999999999</v>
      </c>
      <c r="C24" s="24">
        <v>7.04</v>
      </c>
      <c r="D24" s="24">
        <v>7.12</v>
      </c>
      <c r="E24" s="24">
        <v>2100</v>
      </c>
      <c r="F24" s="58">
        <v>0.36</v>
      </c>
      <c r="G24" s="24">
        <v>181</v>
      </c>
      <c r="H24" s="24"/>
      <c r="I24" s="33">
        <v>0</v>
      </c>
      <c r="J24" s="24" t="s">
        <v>639</v>
      </c>
      <c r="K24" s="23" t="s">
        <v>26</v>
      </c>
      <c r="L24" s="23" t="s">
        <v>26</v>
      </c>
      <c r="M24" s="23" t="s">
        <v>26</v>
      </c>
      <c r="N24" s="23" t="s">
        <v>26</v>
      </c>
      <c r="O24" s="23" t="s">
        <v>26</v>
      </c>
    </row>
    <row r="25" spans="1:19" ht="15.75" thickBot="1" x14ac:dyDescent="0.3">
      <c r="A25" s="32">
        <v>30</v>
      </c>
      <c r="B25" s="24">
        <v>19.5</v>
      </c>
      <c r="C25" s="24">
        <v>7.04</v>
      </c>
      <c r="D25" s="24">
        <v>7.13</v>
      </c>
      <c r="E25" s="24">
        <v>4600</v>
      </c>
      <c r="F25" s="58">
        <v>0.28000000000000003</v>
      </c>
      <c r="G25" s="24">
        <v>183</v>
      </c>
      <c r="H25" s="24"/>
      <c r="I25" s="33">
        <v>0</v>
      </c>
      <c r="J25" s="24" t="s">
        <v>639</v>
      </c>
      <c r="K25" s="23" t="s">
        <v>26</v>
      </c>
      <c r="L25" s="23" t="s">
        <v>26</v>
      </c>
      <c r="M25" s="23" t="s">
        <v>26</v>
      </c>
      <c r="N25" s="23" t="s">
        <v>26</v>
      </c>
      <c r="O25" s="23" t="s">
        <v>26</v>
      </c>
    </row>
    <row r="26" spans="1:19" x14ac:dyDescent="0.25">
      <c r="A26" s="189"/>
      <c r="B26">
        <f>AVERAGE(B20)</f>
        <v>20.9</v>
      </c>
      <c r="C26">
        <f>AVERAGE(C20)</f>
        <v>7.04</v>
      </c>
      <c r="J26">
        <v>7.7</v>
      </c>
      <c r="N26" s="28"/>
      <c r="O26" s="28"/>
    </row>
    <row r="27" spans="1:19" x14ac:dyDescent="0.25">
      <c r="A27" s="28" t="s">
        <v>140</v>
      </c>
      <c r="B27" s="28"/>
      <c r="C27" s="28"/>
      <c r="D27" s="28"/>
      <c r="E27" s="28"/>
      <c r="F27" s="28"/>
      <c r="G27" s="28"/>
      <c r="H27" s="28"/>
      <c r="I27" s="217"/>
      <c r="J27" s="28"/>
      <c r="K27" s="28"/>
      <c r="L27" s="28"/>
      <c r="M27" s="28"/>
      <c r="N27" s="28"/>
      <c r="O27" s="28"/>
    </row>
    <row r="28" spans="1:19" x14ac:dyDescent="0.25">
      <c r="A28" s="28"/>
      <c r="B28" s="28" t="s">
        <v>141</v>
      </c>
      <c r="C28" s="28"/>
      <c r="D28" s="28"/>
      <c r="E28" s="28"/>
      <c r="F28" s="28"/>
      <c r="G28" s="28"/>
      <c r="H28" s="28"/>
      <c r="I28" s="217"/>
      <c r="J28" s="28"/>
      <c r="K28" s="28"/>
      <c r="L28" s="28"/>
      <c r="M28" s="28"/>
      <c r="N28" s="28" t="s">
        <v>34</v>
      </c>
      <c r="O28" s="28"/>
    </row>
    <row r="29" spans="1:19" x14ac:dyDescent="0.25">
      <c r="A29" s="28" t="s">
        <v>264</v>
      </c>
      <c r="B29" s="28"/>
      <c r="C29" s="28"/>
      <c r="D29" s="28"/>
      <c r="E29" s="28"/>
      <c r="F29" s="28"/>
      <c r="G29" s="28"/>
      <c r="H29" s="28"/>
      <c r="I29" s="217"/>
      <c r="J29" s="28" t="s">
        <v>34</v>
      </c>
      <c r="K29" s="28"/>
      <c r="L29" s="28" t="s">
        <v>34</v>
      </c>
      <c r="M29" s="28"/>
      <c r="N29" s="28"/>
      <c r="O29" s="28"/>
    </row>
    <row r="30" spans="1:19" x14ac:dyDescent="0.25">
      <c r="A30" s="59"/>
      <c r="F30" s="28"/>
      <c r="G30" s="28"/>
      <c r="H30" s="28"/>
      <c r="I30" s="217"/>
      <c r="J30" s="28"/>
      <c r="K30" s="28"/>
      <c r="L30" s="28" t="s">
        <v>34</v>
      </c>
      <c r="M30" s="28" t="s">
        <v>34</v>
      </c>
      <c r="N30" s="28"/>
      <c r="O30" s="28"/>
    </row>
    <row r="31" spans="1:19" x14ac:dyDescent="0.25">
      <c r="A31" s="19" t="s">
        <v>28</v>
      </c>
      <c r="B31" s="28"/>
      <c r="C31" s="28"/>
      <c r="D31" s="28"/>
      <c r="E31" s="28"/>
      <c r="F31" s="28"/>
      <c r="G31" s="28"/>
      <c r="H31" s="28"/>
      <c r="I31" s="217"/>
      <c r="J31" s="28"/>
      <c r="K31" s="28" t="s">
        <v>34</v>
      </c>
      <c r="L31" s="28"/>
      <c r="M31" s="28" t="s">
        <v>34</v>
      </c>
      <c r="N31" s="28"/>
      <c r="O31" s="28"/>
    </row>
    <row r="32" spans="1:19" x14ac:dyDescent="0.25">
      <c r="A32" s="28"/>
      <c r="B32" s="22"/>
      <c r="C32" s="28"/>
      <c r="D32" s="28"/>
      <c r="E32" s="28"/>
      <c r="F32" s="28"/>
      <c r="G32" s="28"/>
      <c r="H32" s="28"/>
      <c r="I32" s="217"/>
      <c r="J32" s="28"/>
      <c r="K32" s="28"/>
      <c r="L32" s="28" t="s">
        <v>34</v>
      </c>
      <c r="M32" s="28" t="s">
        <v>34</v>
      </c>
      <c r="N32" s="28"/>
      <c r="O32" s="28"/>
    </row>
    <row r="33" spans="1:15" x14ac:dyDescent="0.25">
      <c r="A33" s="28"/>
      <c r="B33" s="189" t="s">
        <v>640</v>
      </c>
      <c r="C33" s="189"/>
      <c r="D33" s="189"/>
      <c r="E33" s="189"/>
      <c r="F33" s="189"/>
      <c r="G33" s="189"/>
      <c r="H33" s="189"/>
      <c r="I33" s="189"/>
      <c r="J33" s="189"/>
      <c r="K33" s="189"/>
      <c r="L33" s="189" t="s">
        <v>34</v>
      </c>
      <c r="M33" s="28"/>
      <c r="N33" s="28"/>
      <c r="O33" s="28"/>
    </row>
    <row r="34" spans="1:15" x14ac:dyDescent="0.25">
      <c r="A34" s="28"/>
      <c r="B34" s="189"/>
      <c r="C34" s="189"/>
      <c r="D34" s="189"/>
      <c r="E34" s="189"/>
      <c r="F34" s="189"/>
      <c r="G34" s="189"/>
      <c r="H34" s="189"/>
      <c r="I34" s="189"/>
      <c r="J34" s="189"/>
      <c r="K34" s="189"/>
      <c r="L34" s="189"/>
      <c r="M34" s="28"/>
      <c r="N34" s="28"/>
      <c r="O34" s="28"/>
    </row>
    <row r="35" spans="1:15" x14ac:dyDescent="0.25">
      <c r="A35" s="28"/>
      <c r="B35" s="22" t="s">
        <v>738</v>
      </c>
      <c r="C35" s="28"/>
      <c r="D35" s="28"/>
      <c r="E35" s="28"/>
      <c r="F35" s="28"/>
      <c r="G35" s="28"/>
      <c r="H35" s="28"/>
      <c r="I35" s="217"/>
      <c r="J35" s="28"/>
      <c r="K35" s="28"/>
      <c r="L35" s="28"/>
      <c r="M35" s="28" t="s">
        <v>34</v>
      </c>
      <c r="N35" s="28"/>
      <c r="O35" s="28"/>
    </row>
    <row r="36" spans="1:15" x14ac:dyDescent="0.25">
      <c r="A36" s="28"/>
      <c r="B36" s="189"/>
      <c r="C36" t="s">
        <v>687</v>
      </c>
      <c r="D36">
        <f>90*6/100*1000</f>
        <v>5400</v>
      </c>
      <c r="E36" s="189"/>
      <c r="F36" s="189"/>
      <c r="G36" s="189"/>
      <c r="H36" s="189"/>
      <c r="I36" s="189"/>
      <c r="J36" s="189"/>
      <c r="K36" s="189"/>
      <c r="M36" s="28"/>
      <c r="N36" s="28"/>
      <c r="O36" s="28"/>
    </row>
    <row r="37" spans="1:15" x14ac:dyDescent="0.25">
      <c r="A37" s="28"/>
      <c r="B37" s="189"/>
      <c r="C37" t="s">
        <v>688</v>
      </c>
      <c r="D37" s="28">
        <f>(2000+90-200)</f>
        <v>1890</v>
      </c>
      <c r="E37" s="189" t="s">
        <v>693</v>
      </c>
      <c r="F37" s="189"/>
      <c r="G37" s="189"/>
      <c r="H37" s="189"/>
      <c r="I37" s="189"/>
      <c r="J37" s="189"/>
      <c r="K37" s="189"/>
      <c r="M37" s="28"/>
      <c r="N37" s="28"/>
      <c r="O37" s="28"/>
    </row>
    <row r="38" spans="1:15" x14ac:dyDescent="0.25">
      <c r="A38" s="28"/>
      <c r="B38" s="69"/>
      <c r="C38" t="s">
        <v>686</v>
      </c>
      <c r="D38">
        <f>D36/D37*1000</f>
        <v>2857.1428571428573</v>
      </c>
      <c r="E38" s="87"/>
      <c r="F38" s="87"/>
      <c r="G38" s="87"/>
      <c r="H38" s="87"/>
      <c r="I38" s="88"/>
      <c r="J38" s="87"/>
      <c r="K38" s="87"/>
      <c r="L38" s="28"/>
      <c r="M38" s="28"/>
      <c r="N38" s="28"/>
      <c r="O38" s="28"/>
    </row>
    <row r="39" spans="1:15" x14ac:dyDescent="0.25">
      <c r="A39" s="28"/>
      <c r="B39" s="75"/>
      <c r="C39" s="28"/>
      <c r="D39" s="28"/>
      <c r="E39" s="28"/>
      <c r="F39" s="28"/>
      <c r="G39" s="28"/>
      <c r="H39" s="28"/>
      <c r="I39" s="217"/>
      <c r="J39" s="28"/>
      <c r="K39" s="28"/>
      <c r="N39" s="28"/>
      <c r="O39" s="28"/>
    </row>
    <row r="40" spans="1:15" x14ac:dyDescent="0.25">
      <c r="A40" s="28"/>
      <c r="B40" s="22"/>
      <c r="L40" s="28"/>
      <c r="N40" s="28"/>
      <c r="O40" s="28"/>
    </row>
    <row r="41" spans="1:15" x14ac:dyDescent="0.25">
      <c r="A41" s="28"/>
      <c r="B41" s="22"/>
      <c r="L41" s="28"/>
      <c r="N41" s="28"/>
      <c r="O41" s="28" t="s">
        <v>34</v>
      </c>
    </row>
    <row r="42" spans="1:15" x14ac:dyDescent="0.25">
      <c r="A42" s="28"/>
      <c r="B42" s="22"/>
      <c r="L42" s="28"/>
      <c r="M42" s="28"/>
      <c r="N42" s="28"/>
      <c r="O42" s="28"/>
    </row>
    <row r="43" spans="1:15" x14ac:dyDescent="0.25">
      <c r="B43" s="189"/>
      <c r="C43" s="64"/>
      <c r="D43" s="64"/>
      <c r="E43" s="64"/>
      <c r="F43" s="64"/>
      <c r="G43" s="64"/>
      <c r="H43" s="64"/>
      <c r="I43" s="64"/>
      <c r="J43" s="64"/>
      <c r="K43" s="64"/>
      <c r="L43" s="65"/>
      <c r="M43" s="28"/>
      <c r="N43" s="28"/>
      <c r="O43" s="28"/>
    </row>
    <row r="44" spans="1:15" x14ac:dyDescent="0.25">
      <c r="B44" s="189"/>
    </row>
    <row r="45" spans="1:15" x14ac:dyDescent="0.25">
      <c r="B45" s="22"/>
      <c r="C45" s="28"/>
      <c r="D45" s="28"/>
      <c r="E45" s="28"/>
      <c r="F45" s="28"/>
      <c r="G45" s="28"/>
      <c r="H45" s="28"/>
      <c r="I45" s="217"/>
      <c r="J45" s="28"/>
    </row>
    <row r="46" spans="1:15" x14ac:dyDescent="0.25">
      <c r="B46" s="189"/>
      <c r="C46" s="64"/>
      <c r="D46" s="64"/>
      <c r="E46" s="64"/>
      <c r="F46" s="64"/>
      <c r="G46" s="64"/>
      <c r="H46" s="64"/>
      <c r="I46" s="64"/>
      <c r="J46" s="64"/>
      <c r="K46" s="64"/>
      <c r="L46" s="65"/>
      <c r="O46" t="s">
        <v>34</v>
      </c>
    </row>
    <row r="47" spans="1:15" x14ac:dyDescent="0.25">
      <c r="B47" s="189"/>
      <c r="C47" s="189"/>
      <c r="D47" s="189"/>
      <c r="E47" s="189"/>
      <c r="F47" s="189"/>
      <c r="G47" s="189"/>
      <c r="H47" s="189"/>
      <c r="I47" s="189"/>
      <c r="J47" s="189"/>
      <c r="K47" s="189"/>
      <c r="N47" t="s">
        <v>34</v>
      </c>
    </row>
    <row r="48" spans="1:15" x14ac:dyDescent="0.25">
      <c r="B48" s="189"/>
      <c r="C48" s="189"/>
      <c r="D48" s="189"/>
      <c r="E48" s="189"/>
      <c r="F48" s="189"/>
      <c r="G48" s="189"/>
      <c r="H48" s="189"/>
      <c r="I48" s="189"/>
      <c r="J48" s="189"/>
      <c r="K48" s="189"/>
    </row>
    <row r="49" spans="2:14" x14ac:dyDescent="0.25">
      <c r="B49" s="22"/>
      <c r="C49" s="28"/>
      <c r="D49" s="28"/>
      <c r="E49" s="28"/>
      <c r="F49" s="28"/>
      <c r="G49" s="28"/>
      <c r="H49" s="217"/>
      <c r="I49" s="28"/>
      <c r="J49" s="189"/>
      <c r="K49" s="28"/>
    </row>
    <row r="50" spans="2:14" x14ac:dyDescent="0.25">
      <c r="N50" t="s">
        <v>34</v>
      </c>
    </row>
  </sheetData>
  <pageMargins left="0.7" right="0.7" top="0.75" bottom="0.75" header="0.3" footer="0.3"/>
  <pageSetup scale="63" orientation="landscape" verticalDpi="597" r:id="rId1"/>
  <drawing r:id="rId2"/>
  <legacy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tabColor rgb="FFC00000"/>
    <pageSetUpPr fitToPage="1"/>
  </sheetPr>
  <dimension ref="A6:S50"/>
  <sheetViews>
    <sheetView zoomScale="90" zoomScaleNormal="90" workbookViewId="0"/>
  </sheetViews>
  <sheetFormatPr defaultRowHeight="15" x14ac:dyDescent="0.25"/>
  <cols>
    <col min="2" max="2" width="11" customWidth="1"/>
    <col min="9" max="9" width="10.28515625" bestFit="1" customWidth="1"/>
    <col min="11" max="11" width="9.42578125" customWidth="1"/>
    <col min="18" max="18" width="9.5703125" customWidth="1"/>
  </cols>
  <sheetData>
    <row r="6" spans="1:15" x14ac:dyDescent="0.25">
      <c r="A6" s="7" t="s">
        <v>12</v>
      </c>
      <c r="B6" s="28"/>
      <c r="C6" s="28"/>
      <c r="D6" s="28"/>
      <c r="E6" s="28"/>
      <c r="F6" s="28"/>
      <c r="G6" s="28"/>
      <c r="H6" s="28"/>
      <c r="I6" s="219"/>
      <c r="J6" s="28"/>
      <c r="K6" s="28"/>
      <c r="L6" s="28"/>
      <c r="M6" s="28"/>
      <c r="N6" s="28"/>
      <c r="O6" s="28"/>
    </row>
    <row r="7" spans="1:15" x14ac:dyDescent="0.25">
      <c r="A7" s="30" t="s">
        <v>13</v>
      </c>
      <c r="B7" s="223">
        <v>42017</v>
      </c>
    </row>
    <row r="8" spans="1:15" x14ac:dyDescent="0.25">
      <c r="A8" s="28" t="s">
        <v>14</v>
      </c>
      <c r="B8" s="28">
        <v>10</v>
      </c>
      <c r="C8" s="28" t="s">
        <v>651</v>
      </c>
      <c r="D8" s="28"/>
      <c r="E8" s="28"/>
      <c r="F8" s="28"/>
      <c r="G8" s="28"/>
      <c r="H8" s="28"/>
      <c r="I8" s="219"/>
      <c r="J8" s="28"/>
      <c r="K8" s="28" t="s">
        <v>34</v>
      </c>
      <c r="L8" s="28" t="s">
        <v>34</v>
      </c>
      <c r="M8" s="28"/>
      <c r="N8" s="28"/>
      <c r="O8" s="28"/>
    </row>
    <row r="9" spans="1:15" x14ac:dyDescent="0.25">
      <c r="A9" s="28" t="s">
        <v>15</v>
      </c>
      <c r="B9" s="28">
        <v>10</v>
      </c>
      <c r="C9" s="28" t="s">
        <v>240</v>
      </c>
      <c r="D9" s="28"/>
      <c r="E9" s="28"/>
      <c r="F9" s="28"/>
      <c r="G9" s="28"/>
      <c r="H9" s="28"/>
      <c r="I9" s="219"/>
      <c r="J9" s="28"/>
      <c r="K9" s="28"/>
      <c r="L9" s="28"/>
      <c r="M9" s="28"/>
      <c r="N9" s="28"/>
      <c r="O9" s="28"/>
    </row>
    <row r="10" spans="1:15" x14ac:dyDescent="0.25">
      <c r="A10" s="28" t="s">
        <v>16</v>
      </c>
      <c r="B10" s="31">
        <v>1600</v>
      </c>
      <c r="C10" s="31" t="s">
        <v>645</v>
      </c>
      <c r="D10" s="28"/>
      <c r="E10" s="28"/>
      <c r="F10" s="28"/>
      <c r="G10" s="28"/>
      <c r="H10" s="28"/>
      <c r="I10" s="219" t="s">
        <v>34</v>
      </c>
      <c r="J10" s="28" t="s">
        <v>34</v>
      </c>
      <c r="K10" s="28" t="s">
        <v>34</v>
      </c>
      <c r="L10" s="28" t="s">
        <v>34</v>
      </c>
      <c r="M10" s="28" t="s">
        <v>34</v>
      </c>
      <c r="N10" s="28" t="s">
        <v>34</v>
      </c>
      <c r="O10" s="28"/>
    </row>
    <row r="11" spans="1:15" x14ac:dyDescent="0.25">
      <c r="A11" s="28"/>
      <c r="B11" s="238">
        <v>200000000</v>
      </c>
      <c r="C11" s="31" t="s">
        <v>58</v>
      </c>
      <c r="D11" s="28"/>
      <c r="E11" s="28"/>
      <c r="F11" s="28"/>
      <c r="G11" s="28"/>
      <c r="H11" s="28"/>
      <c r="I11" s="219"/>
      <c r="J11" s="28"/>
      <c r="K11" s="28" t="s">
        <v>34</v>
      </c>
      <c r="L11" s="28"/>
      <c r="M11" s="28"/>
      <c r="N11" s="28"/>
      <c r="O11" s="28"/>
    </row>
    <row r="12" spans="1:15" x14ac:dyDescent="0.25">
      <c r="A12" s="28"/>
      <c r="B12" s="31">
        <v>50.4</v>
      </c>
      <c r="C12" s="31" t="s">
        <v>646</v>
      </c>
      <c r="D12" s="28"/>
      <c r="E12" s="28"/>
      <c r="F12" s="28"/>
      <c r="G12" s="28"/>
      <c r="H12" s="28"/>
      <c r="I12" s="219"/>
      <c r="J12" s="28"/>
      <c r="K12" s="28"/>
      <c r="L12" s="28"/>
      <c r="M12" s="28"/>
      <c r="N12" s="28"/>
      <c r="O12" s="28"/>
    </row>
    <row r="13" spans="1:15" x14ac:dyDescent="0.25">
      <c r="A13" s="28"/>
      <c r="B13" s="31">
        <v>8.25</v>
      </c>
      <c r="C13" s="28" t="s">
        <v>697</v>
      </c>
      <c r="D13" s="28"/>
      <c r="E13" s="28"/>
      <c r="F13" s="28"/>
      <c r="G13" s="28"/>
      <c r="H13" s="28"/>
      <c r="I13" s="241"/>
      <c r="J13" s="28"/>
      <c r="K13" s="28"/>
      <c r="L13" s="28"/>
      <c r="M13" s="28"/>
      <c r="N13" s="28"/>
      <c r="O13" s="28"/>
    </row>
    <row r="14" spans="1:15" x14ac:dyDescent="0.25">
      <c r="A14" s="28"/>
      <c r="B14" s="31">
        <v>200</v>
      </c>
      <c r="C14" s="87" t="s">
        <v>696</v>
      </c>
      <c r="D14" s="28"/>
      <c r="E14" s="28"/>
      <c r="F14" s="28"/>
      <c r="G14" s="28"/>
      <c r="H14" s="28"/>
      <c r="I14" s="241"/>
      <c r="J14" s="28"/>
      <c r="K14" s="28"/>
      <c r="L14" s="28"/>
      <c r="M14" s="28"/>
      <c r="N14" s="28"/>
      <c r="O14" s="28"/>
    </row>
    <row r="15" spans="1:15" x14ac:dyDescent="0.25">
      <c r="A15" s="28"/>
      <c r="B15" s="31">
        <v>90</v>
      </c>
      <c r="C15" s="87" t="s">
        <v>698</v>
      </c>
      <c r="D15" s="28"/>
      <c r="E15" s="28"/>
      <c r="F15" s="28"/>
      <c r="G15" s="28"/>
      <c r="H15" s="28"/>
      <c r="I15" s="241"/>
      <c r="J15" s="28"/>
      <c r="K15" s="28"/>
      <c r="L15" s="28"/>
      <c r="M15" s="28"/>
      <c r="N15" s="28"/>
      <c r="O15" s="28"/>
    </row>
    <row r="16" spans="1:15" x14ac:dyDescent="0.25">
      <c r="A16" s="28"/>
      <c r="B16" s="232">
        <f>(B12*B13/100*1000)/(B10+B12-B14+B15)*1000</f>
        <v>2699.298883406907</v>
      </c>
      <c r="C16" s="28" t="s">
        <v>700</v>
      </c>
      <c r="D16" s="28"/>
      <c r="E16" s="28"/>
      <c r="F16" s="28"/>
      <c r="G16" s="28"/>
      <c r="H16" s="28"/>
      <c r="I16" s="241"/>
      <c r="J16" s="28"/>
      <c r="K16" s="28"/>
      <c r="L16" s="28"/>
      <c r="M16" s="28"/>
      <c r="N16" s="28"/>
      <c r="O16" s="28"/>
    </row>
    <row r="17" spans="1:19" ht="16.5" thickBot="1" x14ac:dyDescent="0.35">
      <c r="A17" s="28"/>
      <c r="B17" s="28" t="s">
        <v>652</v>
      </c>
      <c r="C17" s="28"/>
      <c r="D17" s="28"/>
      <c r="E17" s="28"/>
      <c r="F17" s="28"/>
      <c r="G17" s="28"/>
      <c r="H17" s="28"/>
      <c r="I17" s="219"/>
      <c r="J17" s="28"/>
      <c r="K17" s="28"/>
      <c r="L17" s="28"/>
      <c r="M17" s="28"/>
      <c r="N17" s="28"/>
      <c r="O17" s="28"/>
    </row>
    <row r="18" spans="1:19" ht="77.25"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19" ht="15.75" thickBot="1" x14ac:dyDescent="0.3">
      <c r="A19" s="32">
        <v>0</v>
      </c>
      <c r="B19" s="23">
        <v>20.399999999999999</v>
      </c>
      <c r="C19" s="23">
        <v>6.72</v>
      </c>
      <c r="D19" s="23">
        <v>6.72</v>
      </c>
      <c r="E19" s="23">
        <v>0.88</v>
      </c>
      <c r="F19" s="23">
        <v>1.08</v>
      </c>
      <c r="G19" s="23">
        <v>342</v>
      </c>
      <c r="H19" s="23">
        <v>901</v>
      </c>
      <c r="I19" s="33">
        <v>44000000</v>
      </c>
      <c r="J19" s="125">
        <f>LOG(I19)-LOG(I19)</f>
        <v>0</v>
      </c>
      <c r="K19" s="23" t="s">
        <v>26</v>
      </c>
      <c r="L19" s="23" t="s">
        <v>26</v>
      </c>
      <c r="M19" s="23" t="s">
        <v>26</v>
      </c>
      <c r="N19" s="23" t="s">
        <v>26</v>
      </c>
      <c r="O19" s="23" t="s">
        <v>26</v>
      </c>
      <c r="P19" s="233">
        <f>B$16*A19</f>
        <v>0</v>
      </c>
      <c r="Q19" s="233">
        <f>6/LINEST(J19:J21,P19:P21,FALSE)</f>
        <v>13548.806280520159</v>
      </c>
      <c r="R19" s="233">
        <f>Q19/3000</f>
        <v>4.5162687601733866</v>
      </c>
      <c r="S19" s="233">
        <f>(J26/LINEST($J19:$J20,$P19:$P20,FALSE))/$B$16</f>
        <v>7.2650735741080981</v>
      </c>
    </row>
    <row r="20" spans="1:19" ht="15.75" thickBot="1" x14ac:dyDescent="0.3">
      <c r="A20" s="32">
        <v>3</v>
      </c>
      <c r="B20" s="24">
        <v>20.7</v>
      </c>
      <c r="C20" s="24">
        <v>7.03</v>
      </c>
      <c r="D20" s="24">
        <v>7.01</v>
      </c>
      <c r="E20" s="221">
        <v>8000</v>
      </c>
      <c r="F20" s="24">
        <v>0.45</v>
      </c>
      <c r="G20" s="24">
        <v>377</v>
      </c>
      <c r="H20" s="23">
        <v>868</v>
      </c>
      <c r="I20" s="33">
        <v>32000</v>
      </c>
      <c r="J20" s="125">
        <f>LOG(I$19)-LOG(I20)</f>
        <v>3.1383026981662816</v>
      </c>
      <c r="K20" s="23" t="s">
        <v>26</v>
      </c>
      <c r="L20" s="23" t="s">
        <v>26</v>
      </c>
      <c r="M20" s="23" t="s">
        <v>26</v>
      </c>
      <c r="N20" s="23" t="s">
        <v>26</v>
      </c>
      <c r="O20" s="23" t="s">
        <v>26</v>
      </c>
      <c r="P20" s="233">
        <f>B$16*A20</f>
        <v>8097.8966502207204</v>
      </c>
    </row>
    <row r="21" spans="1:19" ht="15.75" thickBot="1" x14ac:dyDescent="0.3">
      <c r="A21" s="32">
        <v>5</v>
      </c>
      <c r="B21" s="24">
        <v>20.7</v>
      </c>
      <c r="C21" s="24">
        <v>7.03</v>
      </c>
      <c r="D21" s="24">
        <v>6.97</v>
      </c>
      <c r="E21" s="221">
        <v>6000</v>
      </c>
      <c r="F21" s="24">
        <v>0.38</v>
      </c>
      <c r="G21" s="24">
        <v>400</v>
      </c>
      <c r="H21" s="23">
        <v>877</v>
      </c>
      <c r="I21" s="33">
        <v>25</v>
      </c>
      <c r="J21" s="125">
        <f>LOG(I$19)-LOG(I21)</f>
        <v>6.2455126678141504</v>
      </c>
      <c r="K21" s="23" t="s">
        <v>26</v>
      </c>
      <c r="L21" s="23" t="s">
        <v>26</v>
      </c>
      <c r="M21" s="23" t="s">
        <v>26</v>
      </c>
      <c r="N21" s="23" t="s">
        <v>26</v>
      </c>
      <c r="O21" s="23" t="s">
        <v>26</v>
      </c>
      <c r="P21" s="233">
        <f>B$16*A21</f>
        <v>13496.494417034535</v>
      </c>
    </row>
    <row r="22" spans="1:19" ht="15.75" thickBot="1" x14ac:dyDescent="0.3">
      <c r="A22" s="32">
        <v>10</v>
      </c>
      <c r="B22" s="24">
        <v>20.7</v>
      </c>
      <c r="C22" s="24">
        <v>7.03</v>
      </c>
      <c r="D22" s="24">
        <v>6.93</v>
      </c>
      <c r="E22" s="221">
        <v>6000</v>
      </c>
      <c r="F22" s="24">
        <v>0.4</v>
      </c>
      <c r="G22" s="24">
        <v>382</v>
      </c>
      <c r="H22" s="23">
        <v>881</v>
      </c>
      <c r="I22" s="33">
        <v>0</v>
      </c>
      <c r="J22" s="24" t="s">
        <v>617</v>
      </c>
      <c r="K22" s="23" t="s">
        <v>26</v>
      </c>
      <c r="L22" s="23" t="s">
        <v>26</v>
      </c>
      <c r="M22" s="23" t="s">
        <v>26</v>
      </c>
      <c r="N22" s="23" t="s">
        <v>26</v>
      </c>
      <c r="O22" s="23" t="s">
        <v>26</v>
      </c>
    </row>
    <row r="23" spans="1:19" ht="15.75" thickBot="1" x14ac:dyDescent="0.3">
      <c r="A23" s="32">
        <v>15</v>
      </c>
      <c r="B23" s="24">
        <v>20.6</v>
      </c>
      <c r="C23" s="24">
        <v>7.03</v>
      </c>
      <c r="D23" s="24">
        <v>7.01</v>
      </c>
      <c r="E23" s="221">
        <v>5000</v>
      </c>
      <c r="F23" s="24">
        <v>0.41</v>
      </c>
      <c r="G23" s="24">
        <v>410</v>
      </c>
      <c r="H23" s="23">
        <v>876</v>
      </c>
      <c r="I23" s="33">
        <v>0</v>
      </c>
      <c r="J23" s="24" t="s">
        <v>617</v>
      </c>
      <c r="K23" s="23" t="s">
        <v>26</v>
      </c>
      <c r="L23" s="23" t="s">
        <v>26</v>
      </c>
      <c r="M23" s="23" t="s">
        <v>26</v>
      </c>
      <c r="N23" s="23" t="s">
        <v>26</v>
      </c>
      <c r="O23" s="23" t="s">
        <v>26</v>
      </c>
    </row>
    <row r="24" spans="1:19" ht="15.75" thickBot="1" x14ac:dyDescent="0.3">
      <c r="A24" s="32">
        <v>20</v>
      </c>
      <c r="B24" s="24">
        <v>20.6</v>
      </c>
      <c r="C24" s="24">
        <v>7.03</v>
      </c>
      <c r="D24" s="24">
        <v>6.99</v>
      </c>
      <c r="E24" s="221">
        <v>5000</v>
      </c>
      <c r="F24" s="58">
        <v>0.5</v>
      </c>
      <c r="G24" s="24">
        <v>394</v>
      </c>
      <c r="H24" s="23">
        <v>869</v>
      </c>
      <c r="I24" s="33">
        <v>0</v>
      </c>
      <c r="J24" s="24" t="s">
        <v>617</v>
      </c>
      <c r="K24" s="23" t="s">
        <v>26</v>
      </c>
      <c r="L24" s="23" t="s">
        <v>26</v>
      </c>
      <c r="M24" s="23" t="s">
        <v>26</v>
      </c>
      <c r="N24" s="23" t="s">
        <v>26</v>
      </c>
      <c r="O24" s="23" t="s">
        <v>26</v>
      </c>
    </row>
    <row r="25" spans="1:19" ht="15.75" thickBot="1" x14ac:dyDescent="0.3">
      <c r="A25" s="32">
        <v>30</v>
      </c>
      <c r="B25" s="24">
        <v>20.399999999999999</v>
      </c>
      <c r="C25" s="24">
        <v>7.04</v>
      </c>
      <c r="D25" s="24">
        <v>6.98</v>
      </c>
      <c r="E25" s="221">
        <v>6000</v>
      </c>
      <c r="F25" s="58">
        <v>0.49</v>
      </c>
      <c r="G25" s="24">
        <v>393</v>
      </c>
      <c r="H25" s="23">
        <v>881</v>
      </c>
      <c r="I25" s="33">
        <v>0</v>
      </c>
      <c r="J25" s="24" t="s">
        <v>617</v>
      </c>
      <c r="K25" s="23" t="s">
        <v>26</v>
      </c>
      <c r="L25" s="23" t="s">
        <v>26</v>
      </c>
      <c r="M25" s="23">
        <f>AVERAGE(182,224)</f>
        <v>203</v>
      </c>
      <c r="N25" s="23">
        <f>AVERAGE(10990,11160)</f>
        <v>11075</v>
      </c>
      <c r="O25" s="23"/>
    </row>
    <row r="26" spans="1:19" x14ac:dyDescent="0.25">
      <c r="B26">
        <f>AVERAGE(B20:B21)</f>
        <v>20.7</v>
      </c>
      <c r="C26">
        <f>AVERAGE(C20:C21)</f>
        <v>7.03</v>
      </c>
      <c r="J26">
        <v>7.6</v>
      </c>
      <c r="N26" s="28"/>
      <c r="O26" s="28"/>
    </row>
    <row r="27" spans="1:19" x14ac:dyDescent="0.25">
      <c r="A27" s="28" t="s">
        <v>140</v>
      </c>
      <c r="B27" s="28"/>
      <c r="C27" s="28"/>
      <c r="D27" s="28"/>
      <c r="E27" s="28"/>
      <c r="F27" s="28"/>
      <c r="G27" s="28"/>
      <c r="H27" s="28"/>
      <c r="I27" s="219"/>
      <c r="J27" s="28"/>
      <c r="K27" s="28"/>
      <c r="L27" s="28"/>
      <c r="M27" s="28"/>
      <c r="N27" s="28"/>
      <c r="O27" s="28"/>
    </row>
    <row r="28" spans="1:19" x14ac:dyDescent="0.25">
      <c r="A28" s="28"/>
      <c r="B28" s="28" t="s">
        <v>653</v>
      </c>
      <c r="C28" s="28"/>
      <c r="D28" s="28"/>
      <c r="E28" s="28"/>
      <c r="F28" s="28"/>
      <c r="G28" s="28"/>
      <c r="H28" s="28"/>
      <c r="I28" s="219"/>
      <c r="J28" s="28"/>
      <c r="K28" s="28"/>
      <c r="L28" s="28"/>
      <c r="M28" s="28"/>
      <c r="N28" s="28" t="s">
        <v>34</v>
      </c>
      <c r="O28" s="28"/>
      <c r="R28" s="28"/>
    </row>
    <row r="29" spans="1:19" x14ac:dyDescent="0.25">
      <c r="A29" s="28" t="s">
        <v>264</v>
      </c>
      <c r="B29" s="28"/>
      <c r="C29" s="28"/>
      <c r="D29" s="28"/>
      <c r="E29" s="28"/>
      <c r="F29" s="28"/>
      <c r="G29" s="28"/>
      <c r="H29" s="28"/>
      <c r="I29" s="219"/>
      <c r="J29" s="28" t="s">
        <v>34</v>
      </c>
      <c r="K29" s="28"/>
      <c r="L29" s="28" t="s">
        <v>34</v>
      </c>
      <c r="M29" s="28"/>
      <c r="N29" s="28"/>
      <c r="O29" s="28"/>
    </row>
    <row r="30" spans="1:19" x14ac:dyDescent="0.25">
      <c r="A30" s="59"/>
      <c r="F30" s="28"/>
      <c r="G30" s="28"/>
      <c r="H30" s="28"/>
      <c r="I30" s="219"/>
      <c r="J30" s="28"/>
      <c r="K30" s="28"/>
      <c r="L30" s="28" t="s">
        <v>34</v>
      </c>
      <c r="M30" s="28" t="s">
        <v>34</v>
      </c>
      <c r="N30" s="28"/>
      <c r="O30" s="28"/>
    </row>
    <row r="31" spans="1:19" x14ac:dyDescent="0.25">
      <c r="A31" s="19" t="s">
        <v>28</v>
      </c>
      <c r="B31" s="28"/>
      <c r="C31" s="28"/>
      <c r="D31" s="28"/>
      <c r="E31" s="28"/>
      <c r="F31" s="28"/>
      <c r="G31" s="28"/>
      <c r="H31" s="28"/>
      <c r="I31" s="218"/>
      <c r="J31" s="28"/>
      <c r="K31" s="28" t="s">
        <v>34</v>
      </c>
      <c r="L31" s="28"/>
      <c r="M31" s="28" t="s">
        <v>34</v>
      </c>
      <c r="N31" s="28"/>
      <c r="O31" s="28"/>
    </row>
    <row r="32" spans="1:19" x14ac:dyDescent="0.25">
      <c r="A32" s="28"/>
      <c r="B32" s="22"/>
      <c r="C32" s="28"/>
      <c r="D32" s="28"/>
      <c r="E32" s="28"/>
      <c r="F32" s="28"/>
      <c r="G32" s="28"/>
      <c r="H32" s="28"/>
      <c r="I32" s="218"/>
      <c r="J32" s="28"/>
      <c r="K32" s="28"/>
      <c r="L32" s="28" t="s">
        <v>34</v>
      </c>
      <c r="M32" s="28" t="s">
        <v>34</v>
      </c>
      <c r="N32" s="28"/>
      <c r="O32" s="28"/>
    </row>
    <row r="33" spans="1:15" x14ac:dyDescent="0.25">
      <c r="A33" s="28"/>
      <c r="B33" s="189"/>
      <c r="C33" s="189"/>
      <c r="D33" s="189"/>
      <c r="E33" s="189"/>
      <c r="F33" s="189"/>
      <c r="G33" s="189"/>
      <c r="H33" s="189"/>
      <c r="I33" s="189"/>
      <c r="J33" s="189"/>
      <c r="K33" s="189"/>
      <c r="L33" s="189" t="s">
        <v>34</v>
      </c>
      <c r="M33" s="28"/>
      <c r="N33" s="28"/>
      <c r="O33" s="28"/>
    </row>
    <row r="34" spans="1:15" x14ac:dyDescent="0.25">
      <c r="A34" s="28"/>
      <c r="B34" s="189"/>
      <c r="C34" s="189"/>
      <c r="D34" s="189"/>
      <c r="E34" s="189"/>
      <c r="F34" s="189"/>
      <c r="G34" s="189"/>
      <c r="H34" s="189"/>
      <c r="I34" s="189"/>
      <c r="J34" s="189"/>
      <c r="K34" s="189"/>
      <c r="L34" s="189"/>
      <c r="M34" s="28"/>
      <c r="N34" s="28"/>
      <c r="O34" s="28"/>
    </row>
    <row r="35" spans="1:15" x14ac:dyDescent="0.25">
      <c r="A35" s="28"/>
      <c r="B35" s="22"/>
      <c r="C35" s="28"/>
      <c r="D35" s="28"/>
      <c r="E35" s="28"/>
      <c r="F35" s="28"/>
      <c r="G35" s="28"/>
      <c r="H35" s="28"/>
      <c r="I35" s="218"/>
      <c r="J35" s="28"/>
      <c r="K35" s="28"/>
      <c r="L35" s="28"/>
      <c r="M35" s="28" t="s">
        <v>34</v>
      </c>
      <c r="N35" s="28"/>
      <c r="O35" s="28"/>
    </row>
    <row r="36" spans="1:15" x14ac:dyDescent="0.25">
      <c r="A36" s="28"/>
      <c r="B36" s="189"/>
      <c r="E36" s="189"/>
      <c r="F36" s="189"/>
      <c r="G36" s="189"/>
      <c r="H36" s="189"/>
      <c r="I36" s="189"/>
      <c r="J36" s="189"/>
      <c r="K36" s="189"/>
      <c r="M36" s="28"/>
      <c r="N36" s="28"/>
      <c r="O36" s="28"/>
    </row>
    <row r="37" spans="1:15" x14ac:dyDescent="0.25">
      <c r="A37" s="28"/>
      <c r="B37" s="189"/>
      <c r="D37" s="28"/>
      <c r="E37" s="189"/>
      <c r="F37" s="189"/>
      <c r="G37" s="189"/>
      <c r="H37" s="189"/>
      <c r="I37" s="189"/>
      <c r="J37" s="189"/>
      <c r="K37" s="189"/>
      <c r="M37" s="28"/>
      <c r="N37" s="28"/>
      <c r="O37" s="28"/>
    </row>
    <row r="38" spans="1:15" x14ac:dyDescent="0.25">
      <c r="A38" s="28"/>
      <c r="B38" s="69"/>
      <c r="E38" s="87"/>
      <c r="F38" s="87"/>
      <c r="G38" s="87"/>
      <c r="H38" s="87"/>
      <c r="I38" s="88"/>
      <c r="J38" s="87"/>
      <c r="K38" s="87"/>
      <c r="L38" s="28"/>
      <c r="M38" s="28"/>
      <c r="N38" s="28"/>
      <c r="O38" s="28"/>
    </row>
    <row r="39" spans="1:15" x14ac:dyDescent="0.25">
      <c r="A39" s="28"/>
      <c r="B39" s="75"/>
      <c r="C39" s="28"/>
      <c r="D39" s="28"/>
      <c r="E39" s="28"/>
      <c r="F39" s="28"/>
      <c r="G39" s="28"/>
      <c r="H39" s="28"/>
      <c r="I39" s="218"/>
      <c r="J39" s="28"/>
      <c r="K39" s="28"/>
      <c r="N39" s="28"/>
      <c r="O39" s="28"/>
    </row>
    <row r="40" spans="1:15" x14ac:dyDescent="0.25">
      <c r="A40" s="28"/>
      <c r="B40" s="22"/>
      <c r="L40" s="28"/>
      <c r="N40" s="28"/>
      <c r="O40" s="28"/>
    </row>
    <row r="41" spans="1:15" x14ac:dyDescent="0.25">
      <c r="A41" s="28"/>
      <c r="B41" s="22"/>
      <c r="L41" s="28"/>
      <c r="N41" s="28"/>
      <c r="O41" s="28" t="s">
        <v>34</v>
      </c>
    </row>
    <row r="42" spans="1:15" x14ac:dyDescent="0.25">
      <c r="A42" s="28"/>
      <c r="B42" s="22"/>
      <c r="L42" s="28"/>
      <c r="M42" s="28"/>
      <c r="N42" s="28"/>
      <c r="O42" s="28"/>
    </row>
    <row r="43" spans="1:15" x14ac:dyDescent="0.25">
      <c r="B43" s="189"/>
      <c r="C43" s="64"/>
      <c r="D43" s="64"/>
      <c r="E43" s="64"/>
      <c r="F43" s="64"/>
      <c r="G43" s="64"/>
      <c r="H43" s="64"/>
      <c r="I43" s="64"/>
      <c r="J43" s="64"/>
      <c r="K43" s="64"/>
      <c r="L43" s="65"/>
      <c r="M43" s="28"/>
      <c r="N43" s="28"/>
      <c r="O43" s="28"/>
    </row>
    <row r="44" spans="1:15" x14ac:dyDescent="0.25">
      <c r="B44" s="189"/>
    </row>
    <row r="45" spans="1:15" x14ac:dyDescent="0.25">
      <c r="B45" s="22"/>
      <c r="C45" s="28"/>
      <c r="D45" s="28"/>
      <c r="E45" s="28"/>
      <c r="F45" s="28"/>
      <c r="G45" s="28"/>
      <c r="H45" s="28"/>
      <c r="I45" s="218"/>
      <c r="J45" s="28"/>
    </row>
    <row r="46" spans="1:15" x14ac:dyDescent="0.25">
      <c r="B46" s="189"/>
      <c r="C46" s="64"/>
      <c r="D46" s="64"/>
      <c r="E46" s="64"/>
      <c r="F46" s="64"/>
      <c r="G46" s="64"/>
      <c r="H46" s="64"/>
      <c r="I46" s="64"/>
      <c r="J46" s="64"/>
      <c r="K46" s="64"/>
      <c r="L46" s="65"/>
      <c r="O46" t="s">
        <v>34</v>
      </c>
    </row>
    <row r="47" spans="1:15" x14ac:dyDescent="0.25">
      <c r="B47" s="189"/>
      <c r="C47" s="189"/>
      <c r="D47" s="189"/>
      <c r="E47" s="189"/>
      <c r="F47" s="189"/>
      <c r="G47" s="189"/>
      <c r="H47" s="189"/>
      <c r="I47" s="189"/>
      <c r="J47" s="189"/>
      <c r="K47" s="189"/>
      <c r="N47" t="s">
        <v>34</v>
      </c>
    </row>
    <row r="48" spans="1:15" x14ac:dyDescent="0.25">
      <c r="B48" s="189"/>
      <c r="C48" s="189"/>
      <c r="D48" s="189"/>
      <c r="E48" s="189"/>
      <c r="F48" s="189"/>
      <c r="G48" s="189"/>
      <c r="H48" s="189"/>
      <c r="I48" s="189"/>
      <c r="J48" s="189"/>
      <c r="K48" s="189"/>
    </row>
    <row r="49" spans="2:14" x14ac:dyDescent="0.25">
      <c r="B49" s="22"/>
      <c r="C49" s="28"/>
      <c r="D49" s="28"/>
      <c r="E49" s="28"/>
      <c r="F49" s="28"/>
      <c r="G49" s="28"/>
      <c r="H49" s="218"/>
      <c r="I49" s="28"/>
      <c r="J49" s="189"/>
      <c r="K49" s="28"/>
    </row>
    <row r="50" spans="2:14" x14ac:dyDescent="0.25">
      <c r="N50" t="s">
        <v>34</v>
      </c>
    </row>
  </sheetData>
  <pageMargins left="0.7" right="0.7" top="0.75" bottom="0.75" header="0.3" footer="0.3"/>
  <pageSetup scale="64" orientation="landscape" verticalDpi="597"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heetViews>
  <sheetFormatPr defaultRowHeight="15" x14ac:dyDescent="0.25"/>
  <cols>
    <col min="1" max="1" width="19.140625" customWidth="1"/>
    <col min="2" max="2" width="10.7109375" customWidth="1"/>
    <col min="3" max="3" width="13" customWidth="1"/>
    <col min="5" max="5" width="11.28515625" bestFit="1" customWidth="1"/>
    <col min="6" max="6" width="13" customWidth="1"/>
    <col min="7" max="8" width="11.28515625" customWidth="1"/>
    <col min="9" max="9" width="11.5703125" customWidth="1"/>
  </cols>
  <sheetData>
    <row r="1" spans="1:10" x14ac:dyDescent="0.25">
      <c r="A1" s="367" t="s">
        <v>841</v>
      </c>
      <c r="B1" s="367"/>
      <c r="C1" s="90"/>
      <c r="D1" s="90"/>
      <c r="E1" s="90"/>
      <c r="F1" s="90"/>
      <c r="G1" s="90"/>
      <c r="H1" s="90"/>
      <c r="I1" s="90"/>
      <c r="J1" s="90"/>
    </row>
    <row r="2" spans="1:10" ht="42" thickBot="1" x14ac:dyDescent="0.3">
      <c r="A2" s="369" t="s">
        <v>842</v>
      </c>
      <c r="B2" s="369" t="s">
        <v>895</v>
      </c>
      <c r="C2" s="369" t="s">
        <v>843</v>
      </c>
      <c r="D2" s="370" t="s">
        <v>758</v>
      </c>
      <c r="E2" s="370" t="s">
        <v>759</v>
      </c>
      <c r="F2" s="369" t="s">
        <v>825</v>
      </c>
      <c r="G2" s="371" t="s">
        <v>826</v>
      </c>
      <c r="H2" s="372" t="s">
        <v>827</v>
      </c>
      <c r="I2" s="369" t="s">
        <v>828</v>
      </c>
      <c r="J2" s="369" t="s">
        <v>829</v>
      </c>
    </row>
    <row r="3" spans="1:10" x14ac:dyDescent="0.25">
      <c r="A3" s="386">
        <v>1</v>
      </c>
      <c r="B3" s="386" t="s">
        <v>906</v>
      </c>
      <c r="C3" s="386" t="s">
        <v>844</v>
      </c>
      <c r="D3" s="387">
        <v>4.4799999999999995</v>
      </c>
      <c r="E3" s="386">
        <v>8.33</v>
      </c>
      <c r="F3" s="388">
        <v>9.9719999999999995</v>
      </c>
      <c r="G3" s="386" t="s">
        <v>838</v>
      </c>
      <c r="H3" s="389">
        <v>120</v>
      </c>
      <c r="I3" s="389">
        <v>85</v>
      </c>
      <c r="J3" s="389">
        <v>5</v>
      </c>
    </row>
    <row r="4" spans="1:10" x14ac:dyDescent="0.25">
      <c r="A4" s="390"/>
      <c r="B4" s="375" t="s">
        <v>907</v>
      </c>
      <c r="C4" s="375" t="s">
        <v>844</v>
      </c>
      <c r="D4" s="376">
        <v>3.5</v>
      </c>
      <c r="E4" s="375">
        <v>6.76</v>
      </c>
      <c r="F4" s="375">
        <v>9.25</v>
      </c>
      <c r="G4" s="375" t="s">
        <v>845</v>
      </c>
      <c r="H4" s="391">
        <v>60</v>
      </c>
      <c r="I4" s="391">
        <v>32</v>
      </c>
      <c r="J4" s="391">
        <v>4</v>
      </c>
    </row>
    <row r="5" spans="1:10" x14ac:dyDescent="0.25">
      <c r="A5" s="390"/>
      <c r="B5" s="375" t="s">
        <v>908</v>
      </c>
      <c r="C5" s="375" t="s">
        <v>844</v>
      </c>
      <c r="D5" s="376">
        <v>4.5999999999999996</v>
      </c>
      <c r="E5" s="375">
        <v>6.67</v>
      </c>
      <c r="F5" s="375">
        <v>9.24</v>
      </c>
      <c r="G5" s="375" t="s">
        <v>838</v>
      </c>
      <c r="H5" s="391">
        <v>15</v>
      </c>
      <c r="I5" s="391">
        <v>22</v>
      </c>
      <c r="J5" s="391">
        <v>2</v>
      </c>
    </row>
    <row r="6" spans="1:10" x14ac:dyDescent="0.25">
      <c r="A6" s="392"/>
      <c r="B6" s="380" t="s">
        <v>909</v>
      </c>
      <c r="C6" s="380" t="s">
        <v>844</v>
      </c>
      <c r="D6" s="381">
        <v>4.0999999999999996</v>
      </c>
      <c r="E6" s="380">
        <v>6.42</v>
      </c>
      <c r="F6" s="380">
        <v>9.24</v>
      </c>
      <c r="G6" s="380" t="s">
        <v>846</v>
      </c>
      <c r="H6" s="393">
        <v>60</v>
      </c>
      <c r="I6" s="393">
        <v>26</v>
      </c>
      <c r="J6" s="393">
        <v>4</v>
      </c>
    </row>
    <row r="7" spans="1:10" x14ac:dyDescent="0.25">
      <c r="A7" s="375">
        <v>2</v>
      </c>
      <c r="B7" s="375" t="s">
        <v>910</v>
      </c>
      <c r="C7" s="375" t="s">
        <v>844</v>
      </c>
      <c r="D7" s="376">
        <v>4</v>
      </c>
      <c r="E7" s="383">
        <v>8.11</v>
      </c>
      <c r="F7" s="383">
        <v>10.151666666666667</v>
      </c>
      <c r="G7" s="375" t="s">
        <v>847</v>
      </c>
      <c r="H7" s="375">
        <v>180</v>
      </c>
      <c r="I7" s="394">
        <v>100.06141359800752</v>
      </c>
      <c r="J7" s="394">
        <v>6</v>
      </c>
    </row>
    <row r="8" spans="1:10" x14ac:dyDescent="0.25">
      <c r="A8" s="395"/>
      <c r="B8" s="375" t="s">
        <v>911</v>
      </c>
      <c r="C8" s="375" t="s">
        <v>844</v>
      </c>
      <c r="D8" s="376">
        <v>3.88</v>
      </c>
      <c r="E8" s="383">
        <v>7.29</v>
      </c>
      <c r="F8" s="383">
        <v>10.11</v>
      </c>
      <c r="G8" s="375" t="s">
        <v>848</v>
      </c>
      <c r="H8" s="375">
        <v>120</v>
      </c>
      <c r="I8" s="394">
        <v>79</v>
      </c>
      <c r="J8" s="394">
        <v>5</v>
      </c>
    </row>
    <row r="9" spans="1:10" x14ac:dyDescent="0.25">
      <c r="A9" s="395"/>
      <c r="B9" s="375" t="s">
        <v>912</v>
      </c>
      <c r="C9" s="375">
        <v>8</v>
      </c>
      <c r="D9" s="376">
        <v>4.3</v>
      </c>
      <c r="E9" s="383">
        <v>7.61</v>
      </c>
      <c r="F9" s="383">
        <v>8.08</v>
      </c>
      <c r="G9" s="375" t="s">
        <v>839</v>
      </c>
      <c r="H9" s="375">
        <v>5</v>
      </c>
      <c r="I9" s="394" t="s">
        <v>849</v>
      </c>
      <c r="J9" s="394">
        <v>0</v>
      </c>
    </row>
    <row r="10" spans="1:10" x14ac:dyDescent="0.25">
      <c r="A10" s="395"/>
      <c r="B10" s="375" t="s">
        <v>913</v>
      </c>
      <c r="C10" s="375">
        <v>8</v>
      </c>
      <c r="D10" s="376">
        <v>3.8</v>
      </c>
      <c r="E10" s="383">
        <v>7.6</v>
      </c>
      <c r="F10" s="383">
        <v>8.0500000000000007</v>
      </c>
      <c r="G10" s="375" t="s">
        <v>847</v>
      </c>
      <c r="H10" s="375">
        <v>10</v>
      </c>
      <c r="I10" s="394">
        <v>8</v>
      </c>
      <c r="J10" s="394">
        <v>1</v>
      </c>
    </row>
    <row r="11" spans="1:10" x14ac:dyDescent="0.25">
      <c r="A11" s="395"/>
      <c r="B11" s="375" t="s">
        <v>914</v>
      </c>
      <c r="C11" s="375">
        <v>8</v>
      </c>
      <c r="D11" s="376">
        <v>3.95</v>
      </c>
      <c r="E11" s="383">
        <v>7.19</v>
      </c>
      <c r="F11" s="383">
        <v>8.0299999999999994</v>
      </c>
      <c r="G11" s="375" t="s">
        <v>848</v>
      </c>
      <c r="H11" s="375">
        <v>20</v>
      </c>
      <c r="I11" s="394">
        <v>9</v>
      </c>
      <c r="J11" s="394">
        <v>1</v>
      </c>
    </row>
    <row r="12" spans="1:10" x14ac:dyDescent="0.25">
      <c r="A12" s="392"/>
      <c r="B12" s="380" t="s">
        <v>915</v>
      </c>
      <c r="C12" s="380">
        <v>7</v>
      </c>
      <c r="D12" s="381">
        <v>4.5</v>
      </c>
      <c r="E12" s="380">
        <v>7.41</v>
      </c>
      <c r="F12" s="382">
        <v>7</v>
      </c>
      <c r="G12" s="380" t="s">
        <v>850</v>
      </c>
      <c r="H12" s="393">
        <v>20</v>
      </c>
      <c r="I12" s="393">
        <v>9</v>
      </c>
      <c r="J12" s="393">
        <v>2</v>
      </c>
    </row>
    <row r="13" spans="1:10" x14ac:dyDescent="0.25">
      <c r="A13" s="375">
        <v>3</v>
      </c>
      <c r="B13" s="375" t="s">
        <v>916</v>
      </c>
      <c r="C13" s="375" t="s">
        <v>844</v>
      </c>
      <c r="D13" s="376">
        <v>4</v>
      </c>
      <c r="E13" s="383">
        <v>9.1199999999999992</v>
      </c>
      <c r="F13" s="383">
        <v>10.210000000000001</v>
      </c>
      <c r="G13" s="375" t="s">
        <v>847</v>
      </c>
      <c r="H13" s="375">
        <v>120</v>
      </c>
      <c r="I13" s="394">
        <v>101</v>
      </c>
      <c r="J13" s="394">
        <v>5</v>
      </c>
    </row>
    <row r="14" spans="1:10" x14ac:dyDescent="0.25">
      <c r="A14" s="395"/>
      <c r="B14" s="375" t="s">
        <v>917</v>
      </c>
      <c r="C14" s="375">
        <v>8</v>
      </c>
      <c r="D14" s="376">
        <v>4.4000000000000004</v>
      </c>
      <c r="E14" s="383">
        <v>9.06</v>
      </c>
      <c r="F14" s="383">
        <v>8.06</v>
      </c>
      <c r="G14" s="375" t="s">
        <v>848</v>
      </c>
      <c r="H14" s="375">
        <v>20</v>
      </c>
      <c r="I14" s="394">
        <v>10</v>
      </c>
      <c r="J14" s="394">
        <v>2</v>
      </c>
    </row>
    <row r="15" spans="1:10" x14ac:dyDescent="0.25">
      <c r="A15" s="392"/>
      <c r="B15" s="380" t="s">
        <v>918</v>
      </c>
      <c r="C15" s="380">
        <v>7</v>
      </c>
      <c r="D15" s="381">
        <v>5</v>
      </c>
      <c r="E15" s="380">
        <v>9.0299999999999994</v>
      </c>
      <c r="F15" s="380">
        <v>7.01</v>
      </c>
      <c r="G15" s="380" t="s">
        <v>850</v>
      </c>
      <c r="H15" s="393">
        <v>10</v>
      </c>
      <c r="I15" s="393">
        <v>7</v>
      </c>
      <c r="J15" s="393">
        <v>1</v>
      </c>
    </row>
    <row r="16" spans="1:10" x14ac:dyDescent="0.25">
      <c r="A16" s="375">
        <v>4</v>
      </c>
      <c r="B16" s="375" t="s">
        <v>919</v>
      </c>
      <c r="C16" s="375" t="s">
        <v>844</v>
      </c>
      <c r="D16" s="376">
        <v>20.3</v>
      </c>
      <c r="E16" s="383">
        <v>7.22</v>
      </c>
      <c r="F16" s="383">
        <v>9.33</v>
      </c>
      <c r="G16" s="375" t="s">
        <v>845</v>
      </c>
      <c r="H16" s="375">
        <v>15</v>
      </c>
      <c r="I16" s="394">
        <v>8</v>
      </c>
      <c r="J16" s="394">
        <v>2</v>
      </c>
    </row>
    <row r="17" spans="1:10" x14ac:dyDescent="0.25">
      <c r="A17" s="375"/>
      <c r="B17" s="375" t="s">
        <v>920</v>
      </c>
      <c r="C17" s="375">
        <v>8</v>
      </c>
      <c r="D17" s="376">
        <v>20.05</v>
      </c>
      <c r="E17" s="383">
        <v>6.92</v>
      </c>
      <c r="F17" s="383">
        <v>8.0500000000000007</v>
      </c>
      <c r="G17" s="375" t="s">
        <v>846</v>
      </c>
      <c r="H17" s="375">
        <v>10</v>
      </c>
      <c r="I17" s="394">
        <v>10</v>
      </c>
      <c r="J17" s="394">
        <v>1</v>
      </c>
    </row>
    <row r="18" spans="1:10" x14ac:dyDescent="0.25">
      <c r="A18" s="375"/>
      <c r="B18" s="375" t="s">
        <v>921</v>
      </c>
      <c r="C18" s="375">
        <v>8</v>
      </c>
      <c r="D18" s="376">
        <v>20.100000000000001</v>
      </c>
      <c r="E18" s="383">
        <v>6.75</v>
      </c>
      <c r="F18" s="383">
        <v>8.0299999999999994</v>
      </c>
      <c r="G18" s="375" t="s">
        <v>838</v>
      </c>
      <c r="H18" s="375">
        <v>5</v>
      </c>
      <c r="I18" s="394">
        <v>7</v>
      </c>
      <c r="J18" s="394">
        <v>1</v>
      </c>
    </row>
    <row r="19" spans="1:10" x14ac:dyDescent="0.25">
      <c r="A19" s="392"/>
      <c r="B19" s="380" t="s">
        <v>922</v>
      </c>
      <c r="C19" s="380">
        <v>7</v>
      </c>
      <c r="D19" s="381">
        <v>20.9</v>
      </c>
      <c r="E19" s="380">
        <v>6.74</v>
      </c>
      <c r="F19" s="380">
        <v>7.04</v>
      </c>
      <c r="G19" s="380" t="s">
        <v>847</v>
      </c>
      <c r="H19" s="393">
        <v>5</v>
      </c>
      <c r="I19" s="393">
        <v>6</v>
      </c>
      <c r="J19" s="393">
        <v>1</v>
      </c>
    </row>
    <row r="20" spans="1:10" x14ac:dyDescent="0.25">
      <c r="A20" s="375">
        <v>5</v>
      </c>
      <c r="B20" s="375" t="s">
        <v>923</v>
      </c>
      <c r="C20" s="375" t="s">
        <v>844</v>
      </c>
      <c r="D20" s="376">
        <v>20.48</v>
      </c>
      <c r="E20" s="383">
        <v>6.29</v>
      </c>
      <c r="F20" s="383">
        <v>9.0760000000000005</v>
      </c>
      <c r="G20" s="375" t="s">
        <v>846</v>
      </c>
      <c r="H20" s="375">
        <v>30</v>
      </c>
      <c r="I20" s="394">
        <v>13</v>
      </c>
      <c r="J20" s="394">
        <v>5</v>
      </c>
    </row>
    <row r="21" spans="1:10" x14ac:dyDescent="0.25">
      <c r="A21" s="395"/>
      <c r="B21" s="375" t="s">
        <v>924</v>
      </c>
      <c r="C21" s="375">
        <v>8</v>
      </c>
      <c r="D21" s="376">
        <v>19.899999999999999</v>
      </c>
      <c r="E21" s="383">
        <v>6.3</v>
      </c>
      <c r="F21" s="383">
        <v>7.99</v>
      </c>
      <c r="G21" s="375" t="s">
        <v>845</v>
      </c>
      <c r="H21" s="375">
        <v>5</v>
      </c>
      <c r="I21" s="394">
        <v>5</v>
      </c>
      <c r="J21" s="394">
        <v>1</v>
      </c>
    </row>
    <row r="22" spans="1:10" x14ac:dyDescent="0.25">
      <c r="A22" s="392"/>
      <c r="B22" s="380" t="s">
        <v>925</v>
      </c>
      <c r="C22" s="380">
        <v>7</v>
      </c>
      <c r="D22" s="381">
        <v>20.7</v>
      </c>
      <c r="E22" s="380">
        <v>6.72</v>
      </c>
      <c r="F22" s="380">
        <v>7.03</v>
      </c>
      <c r="G22" s="380" t="s">
        <v>845</v>
      </c>
      <c r="H22" s="393">
        <v>10</v>
      </c>
      <c r="I22" s="393">
        <v>5</v>
      </c>
      <c r="J22" s="393">
        <v>2</v>
      </c>
    </row>
    <row r="24" spans="1:10" x14ac:dyDescent="0.25">
      <c r="A24" s="90" t="s">
        <v>894</v>
      </c>
      <c r="B24" s="90"/>
    </row>
  </sheetData>
  <pageMargins left="0.7" right="0.7" top="0.75" bottom="0.75" header="0.3" footer="0.3"/>
  <pageSetup scale="76" orientation="portrait" verticalDpi="597"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tabColor rgb="FFC00000"/>
    <pageSetUpPr fitToPage="1"/>
  </sheetPr>
  <dimension ref="A6:S50"/>
  <sheetViews>
    <sheetView zoomScale="90" zoomScaleNormal="90" workbookViewId="0"/>
  </sheetViews>
  <sheetFormatPr defaultRowHeight="15" x14ac:dyDescent="0.25"/>
  <cols>
    <col min="2" max="2" width="10" customWidth="1"/>
    <col min="9" max="9" width="10.28515625" bestFit="1" customWidth="1"/>
    <col min="10" max="10" width="8.85546875" customWidth="1"/>
    <col min="11" max="11" width="9.5703125" customWidth="1"/>
  </cols>
  <sheetData>
    <row r="6" spans="1:15" x14ac:dyDescent="0.25">
      <c r="A6" s="7" t="s">
        <v>12</v>
      </c>
      <c r="B6" s="28"/>
      <c r="C6" s="28"/>
      <c r="D6" s="28"/>
      <c r="E6" s="28"/>
      <c r="F6" s="28"/>
      <c r="G6" s="28"/>
      <c r="H6" s="28"/>
      <c r="I6" s="219"/>
      <c r="J6" s="28"/>
      <c r="K6" s="28"/>
      <c r="L6" s="28"/>
      <c r="M6" s="28"/>
      <c r="N6" s="28"/>
      <c r="O6" s="28"/>
    </row>
    <row r="7" spans="1:15" x14ac:dyDescent="0.25">
      <c r="A7" s="30" t="s">
        <v>13</v>
      </c>
      <c r="B7" s="30">
        <v>42026</v>
      </c>
    </row>
    <row r="8" spans="1:15" x14ac:dyDescent="0.25">
      <c r="A8" s="28" t="s">
        <v>14</v>
      </c>
      <c r="B8" s="246">
        <v>10</v>
      </c>
      <c r="C8" s="28" t="s">
        <v>654</v>
      </c>
      <c r="D8" s="28"/>
      <c r="E8" s="28"/>
      <c r="F8" s="28"/>
      <c r="G8" s="28"/>
      <c r="H8" s="28"/>
      <c r="I8" s="219"/>
      <c r="J8" s="28"/>
      <c r="K8" s="28" t="s">
        <v>34</v>
      </c>
      <c r="L8" s="28" t="s">
        <v>34</v>
      </c>
      <c r="M8" s="28"/>
      <c r="N8" s="28"/>
      <c r="O8" s="28"/>
    </row>
    <row r="9" spans="1:15" x14ac:dyDescent="0.25">
      <c r="A9" s="28" t="s">
        <v>15</v>
      </c>
      <c r="B9" s="246">
        <v>10</v>
      </c>
      <c r="C9" s="28" t="s">
        <v>240</v>
      </c>
      <c r="D9" s="28"/>
      <c r="E9" s="28"/>
      <c r="F9" s="28"/>
      <c r="G9" s="28"/>
      <c r="H9" s="28"/>
      <c r="I9" s="219"/>
      <c r="J9" s="28"/>
      <c r="K9" s="28"/>
      <c r="L9" s="28"/>
      <c r="M9" s="28"/>
      <c r="N9" s="28"/>
      <c r="O9" s="28"/>
    </row>
    <row r="10" spans="1:15" x14ac:dyDescent="0.25">
      <c r="A10" s="28" t="s">
        <v>16</v>
      </c>
      <c r="B10" s="247">
        <v>1600</v>
      </c>
      <c r="C10" s="31" t="s">
        <v>645</v>
      </c>
      <c r="D10" s="28"/>
      <c r="E10" s="28"/>
      <c r="F10" s="28"/>
      <c r="G10" s="28"/>
      <c r="H10" s="28"/>
      <c r="I10" s="219" t="s">
        <v>34</v>
      </c>
      <c r="J10" s="28" t="s">
        <v>34</v>
      </c>
      <c r="K10" s="28" t="s">
        <v>34</v>
      </c>
      <c r="L10" s="28" t="s">
        <v>34</v>
      </c>
      <c r="M10" s="28" t="s">
        <v>34</v>
      </c>
      <c r="N10" s="28" t="s">
        <v>34</v>
      </c>
      <c r="O10" s="28"/>
    </row>
    <row r="11" spans="1:15" x14ac:dyDescent="0.25">
      <c r="A11" s="28"/>
      <c r="B11" s="248">
        <v>200000000</v>
      </c>
      <c r="C11" s="31" t="s">
        <v>58</v>
      </c>
      <c r="D11" s="28"/>
      <c r="E11" s="28"/>
      <c r="F11" s="28"/>
      <c r="G11" s="28"/>
      <c r="H11" s="28"/>
      <c r="I11" s="219"/>
      <c r="J11" s="28"/>
      <c r="K11" s="28" t="s">
        <v>34</v>
      </c>
      <c r="L11" s="28"/>
      <c r="M11" s="28"/>
      <c r="N11" s="28"/>
      <c r="O11" s="28"/>
    </row>
    <row r="12" spans="1:15" x14ac:dyDescent="0.25">
      <c r="A12" s="28"/>
      <c r="B12" s="247">
        <v>50.4</v>
      </c>
      <c r="C12" s="31" t="s">
        <v>646</v>
      </c>
      <c r="D12" s="28"/>
      <c r="E12" s="28"/>
      <c r="F12" s="28"/>
      <c r="G12" s="28"/>
      <c r="H12" s="28"/>
      <c r="I12" s="219"/>
      <c r="J12" s="28"/>
      <c r="K12" s="28"/>
      <c r="L12" s="28"/>
      <c r="M12" s="28"/>
      <c r="N12" s="28"/>
      <c r="O12" s="28"/>
    </row>
    <row r="13" spans="1:15" x14ac:dyDescent="0.25">
      <c r="A13" s="28"/>
      <c r="B13" s="244">
        <v>8.25</v>
      </c>
      <c r="C13" s="28" t="s">
        <v>697</v>
      </c>
      <c r="D13" s="28"/>
      <c r="E13" s="28"/>
      <c r="F13" s="28"/>
      <c r="G13" s="28"/>
      <c r="H13" s="28"/>
      <c r="I13" s="241"/>
      <c r="J13" s="28"/>
      <c r="K13" s="28"/>
      <c r="L13" s="28"/>
      <c r="M13" s="28"/>
      <c r="N13" s="28"/>
      <c r="O13" s="28"/>
    </row>
    <row r="14" spans="1:15" x14ac:dyDescent="0.25">
      <c r="A14" s="28"/>
      <c r="B14" s="244">
        <v>200</v>
      </c>
      <c r="C14" s="87" t="s">
        <v>696</v>
      </c>
      <c r="D14" s="28"/>
      <c r="E14" s="28"/>
      <c r="F14" s="28"/>
      <c r="G14" s="28"/>
      <c r="H14" s="28"/>
      <c r="I14" s="241"/>
      <c r="J14" s="28"/>
      <c r="K14" s="28"/>
      <c r="L14" s="28"/>
      <c r="M14" s="28"/>
      <c r="N14" s="28"/>
      <c r="O14" s="28"/>
    </row>
    <row r="15" spans="1:15" x14ac:dyDescent="0.25">
      <c r="A15" s="28"/>
      <c r="B15" s="244">
        <v>15</v>
      </c>
      <c r="C15" s="87" t="s">
        <v>698</v>
      </c>
      <c r="D15" s="28"/>
      <c r="E15" s="28"/>
      <c r="F15" s="28"/>
      <c r="G15" s="28"/>
      <c r="H15" s="28"/>
      <c r="I15" s="241"/>
      <c r="J15" s="28"/>
      <c r="K15" s="28"/>
      <c r="L15" s="28"/>
      <c r="M15" s="28"/>
      <c r="N15" s="28"/>
      <c r="O15" s="28"/>
    </row>
    <row r="16" spans="1:15" x14ac:dyDescent="0.25">
      <c r="A16" s="28"/>
      <c r="B16" s="245">
        <f>(B12*B13/100*1000)/(B10+B12-B14+B15)*1000</f>
        <v>2837.4505254538008</v>
      </c>
      <c r="C16" s="28" t="s">
        <v>700</v>
      </c>
      <c r="D16" s="28"/>
      <c r="E16" s="28"/>
      <c r="F16" s="28"/>
      <c r="G16" s="28"/>
      <c r="H16" s="28"/>
      <c r="I16" s="241"/>
      <c r="J16" s="28"/>
      <c r="K16" s="28"/>
      <c r="L16" s="28"/>
      <c r="M16" s="28"/>
      <c r="N16" s="28"/>
      <c r="O16" s="28"/>
    </row>
    <row r="17" spans="1:19" ht="16.5" thickBot="1" x14ac:dyDescent="0.35">
      <c r="A17" s="28"/>
      <c r="B17" s="28" t="s">
        <v>655</v>
      </c>
      <c r="C17" s="28"/>
      <c r="D17" s="28"/>
      <c r="E17" s="28"/>
      <c r="F17" s="28"/>
      <c r="G17" s="28"/>
      <c r="H17" s="28"/>
      <c r="I17" s="219"/>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610</v>
      </c>
      <c r="J18" s="11" t="s">
        <v>21</v>
      </c>
      <c r="K18" s="13" t="s">
        <v>611</v>
      </c>
      <c r="L18" s="11" t="s">
        <v>21</v>
      </c>
      <c r="M18" s="14" t="s">
        <v>23</v>
      </c>
      <c r="N18" s="14" t="s">
        <v>24</v>
      </c>
      <c r="O18" s="14" t="s">
        <v>25</v>
      </c>
      <c r="P18" s="14" t="s">
        <v>678</v>
      </c>
      <c r="Q18" s="14" t="s">
        <v>681</v>
      </c>
      <c r="R18" s="14" t="s">
        <v>897</v>
      </c>
      <c r="S18" s="14" t="s">
        <v>729</v>
      </c>
    </row>
    <row r="19" spans="1:19" ht="15.75" thickBot="1" x14ac:dyDescent="0.3">
      <c r="A19" s="32">
        <v>0</v>
      </c>
      <c r="B19" s="23">
        <v>19</v>
      </c>
      <c r="C19" s="23">
        <v>6.3</v>
      </c>
      <c r="D19" s="23">
        <v>6.54</v>
      </c>
      <c r="E19" s="23">
        <v>1.59</v>
      </c>
      <c r="F19" s="23">
        <v>1.3</v>
      </c>
      <c r="G19" s="23">
        <v>476</v>
      </c>
      <c r="H19" s="23">
        <v>920</v>
      </c>
      <c r="I19" s="33">
        <v>42000000</v>
      </c>
      <c r="J19" s="125">
        <f>LOG(I19)-LOG(I19)</f>
        <v>0</v>
      </c>
      <c r="K19" s="23" t="s">
        <v>26</v>
      </c>
      <c r="L19" s="23" t="s">
        <v>26</v>
      </c>
      <c r="M19" s="23" t="s">
        <v>26</v>
      </c>
      <c r="N19" s="23" t="s">
        <v>26</v>
      </c>
      <c r="O19" s="23" t="s">
        <v>26</v>
      </c>
      <c r="P19" s="233">
        <f>B$16*A19</f>
        <v>0</v>
      </c>
      <c r="Q19" s="233">
        <f>6/LINEST(J19:J20,P19:P20,FALSE)</f>
        <v>14816.294754633484</v>
      </c>
      <c r="R19" s="233">
        <f>Q19/3000</f>
        <v>4.9387649182111613</v>
      </c>
      <c r="S19" s="233">
        <f>(J26/LINEST($J19:$J20,$P19:$P20,FALSE))/$B$16</f>
        <v>6.614144113121025</v>
      </c>
    </row>
    <row r="20" spans="1:19" ht="15.75" thickBot="1" x14ac:dyDescent="0.3">
      <c r="A20" s="32">
        <v>3</v>
      </c>
      <c r="B20" s="24">
        <v>19.899999999999999</v>
      </c>
      <c r="C20" s="24">
        <v>7.99</v>
      </c>
      <c r="D20" s="24">
        <v>10.72</v>
      </c>
      <c r="E20" s="221">
        <v>1000</v>
      </c>
      <c r="F20" s="24">
        <v>0.51</v>
      </c>
      <c r="G20" s="24">
        <v>291</v>
      </c>
      <c r="H20" s="24">
        <v>925</v>
      </c>
      <c r="I20" s="33">
        <v>15000</v>
      </c>
      <c r="J20" s="125">
        <f>LOG(I$19)-LOG(I20)</f>
        <v>3.4471580313422194</v>
      </c>
      <c r="K20" s="23" t="s">
        <v>26</v>
      </c>
      <c r="L20" s="23" t="s">
        <v>26</v>
      </c>
      <c r="M20" s="23" t="s">
        <v>26</v>
      </c>
      <c r="N20" s="23" t="s">
        <v>26</v>
      </c>
      <c r="O20" s="23" t="s">
        <v>26</v>
      </c>
      <c r="P20" s="233">
        <f>B$16*A20</f>
        <v>8512.3515763614014</v>
      </c>
    </row>
    <row r="21" spans="1:19" ht="15.75" thickBot="1" x14ac:dyDescent="0.3">
      <c r="A21" s="32">
        <v>5</v>
      </c>
      <c r="B21" s="24">
        <v>20.2</v>
      </c>
      <c r="C21" s="24">
        <v>7.99</v>
      </c>
      <c r="D21" s="24">
        <v>10.79</v>
      </c>
      <c r="E21" s="221">
        <v>3000</v>
      </c>
      <c r="F21" s="24">
        <v>0.66</v>
      </c>
      <c r="G21" s="24">
        <v>304</v>
      </c>
      <c r="H21" s="24">
        <v>940</v>
      </c>
      <c r="I21" s="33">
        <v>0</v>
      </c>
      <c r="J21" s="24" t="s">
        <v>617</v>
      </c>
      <c r="K21" s="23" t="s">
        <v>26</v>
      </c>
      <c r="L21" s="23" t="s">
        <v>26</v>
      </c>
      <c r="M21" s="23" t="s">
        <v>26</v>
      </c>
      <c r="N21" s="23" t="s">
        <v>26</v>
      </c>
      <c r="O21" s="23" t="s">
        <v>26</v>
      </c>
      <c r="P21" s="233"/>
    </row>
    <row r="22" spans="1:19" ht="15.75" thickBot="1" x14ac:dyDescent="0.3">
      <c r="A22" s="32">
        <v>10</v>
      </c>
      <c r="B22" s="24">
        <v>20.7</v>
      </c>
      <c r="C22" s="24">
        <v>7.98</v>
      </c>
      <c r="D22" s="24">
        <v>10.9</v>
      </c>
      <c r="E22" s="221">
        <v>4000</v>
      </c>
      <c r="F22" s="24">
        <v>0.42</v>
      </c>
      <c r="G22" s="24">
        <v>269</v>
      </c>
      <c r="H22" s="24">
        <v>916</v>
      </c>
      <c r="I22" s="33">
        <v>0</v>
      </c>
      <c r="J22" s="24" t="s">
        <v>617</v>
      </c>
      <c r="K22" s="23" t="s">
        <v>26</v>
      </c>
      <c r="L22" s="23" t="s">
        <v>26</v>
      </c>
      <c r="M22" s="23" t="s">
        <v>26</v>
      </c>
      <c r="N22" s="23" t="s">
        <v>26</v>
      </c>
      <c r="O22" s="23" t="s">
        <v>26</v>
      </c>
      <c r="P22" s="233"/>
    </row>
    <row r="23" spans="1:19" ht="15.75" thickBot="1" x14ac:dyDescent="0.3">
      <c r="A23" s="32">
        <v>15</v>
      </c>
      <c r="B23" s="24">
        <v>21</v>
      </c>
      <c r="C23" s="24">
        <v>8.0500000000000007</v>
      </c>
      <c r="D23" s="24">
        <v>10.97</v>
      </c>
      <c r="E23" s="221">
        <v>3000</v>
      </c>
      <c r="F23" s="24">
        <v>0.45</v>
      </c>
      <c r="G23" s="24">
        <v>281</v>
      </c>
      <c r="H23" s="24">
        <v>923</v>
      </c>
      <c r="I23" s="33">
        <v>0</v>
      </c>
      <c r="J23" s="24" t="s">
        <v>617</v>
      </c>
      <c r="K23" s="23" t="s">
        <v>26</v>
      </c>
      <c r="L23" s="23" t="s">
        <v>26</v>
      </c>
      <c r="M23" s="23" t="s">
        <v>26</v>
      </c>
      <c r="N23" s="23" t="s">
        <v>26</v>
      </c>
      <c r="O23" s="23" t="s">
        <v>26</v>
      </c>
      <c r="P23" s="233"/>
    </row>
    <row r="24" spans="1:19" ht="15.75" thickBot="1" x14ac:dyDescent="0.3">
      <c r="A24" s="32">
        <v>20</v>
      </c>
      <c r="B24" s="24">
        <v>21</v>
      </c>
      <c r="C24" s="24">
        <v>8.0399999999999991</v>
      </c>
      <c r="D24" s="24">
        <v>11.11</v>
      </c>
      <c r="E24" s="221">
        <v>4000</v>
      </c>
      <c r="F24" s="58">
        <v>0.45</v>
      </c>
      <c r="G24" s="24">
        <v>276</v>
      </c>
      <c r="H24" s="24">
        <v>910</v>
      </c>
      <c r="I24" s="33">
        <v>0</v>
      </c>
      <c r="J24" s="24" t="s">
        <v>617</v>
      </c>
      <c r="K24" s="23" t="s">
        <v>26</v>
      </c>
      <c r="L24" s="23" t="s">
        <v>26</v>
      </c>
      <c r="M24" s="23" t="s">
        <v>26</v>
      </c>
      <c r="N24" s="23" t="s">
        <v>26</v>
      </c>
      <c r="O24" s="23" t="s">
        <v>26</v>
      </c>
      <c r="P24" s="233"/>
    </row>
    <row r="25" spans="1:19" ht="15.75" thickBot="1" x14ac:dyDescent="0.3">
      <c r="A25" s="32">
        <v>30</v>
      </c>
      <c r="B25" s="24">
        <v>20.5</v>
      </c>
      <c r="C25" s="24">
        <v>8.07</v>
      </c>
      <c r="D25" s="24">
        <v>11.32</v>
      </c>
      <c r="E25" s="221">
        <v>9000</v>
      </c>
      <c r="F25" s="58">
        <v>0.55000000000000004</v>
      </c>
      <c r="G25" s="24">
        <v>274</v>
      </c>
      <c r="H25" s="24">
        <v>918</v>
      </c>
      <c r="I25" s="33">
        <v>0</v>
      </c>
      <c r="J25" s="24" t="s">
        <v>617</v>
      </c>
      <c r="K25" s="23" t="s">
        <v>26</v>
      </c>
      <c r="L25" s="23" t="s">
        <v>26</v>
      </c>
      <c r="M25" s="220">
        <f>AVERAGE(366,333)</f>
        <v>349.5</v>
      </c>
      <c r="N25" s="23">
        <f>AVERAGE(6570,6434)</f>
        <v>6502</v>
      </c>
      <c r="O25" s="23"/>
      <c r="P25" s="233"/>
    </row>
    <row r="26" spans="1:19" x14ac:dyDescent="0.25">
      <c r="B26">
        <f>AVERAGE(B20)</f>
        <v>19.899999999999999</v>
      </c>
      <c r="C26">
        <f>AVERAGE(C20)</f>
        <v>7.99</v>
      </c>
      <c r="J26">
        <v>7.6</v>
      </c>
      <c r="N26" s="28"/>
      <c r="O26" s="28"/>
    </row>
    <row r="27" spans="1:19" x14ac:dyDescent="0.25">
      <c r="A27" s="28" t="s">
        <v>140</v>
      </c>
      <c r="B27" s="28"/>
      <c r="C27" s="28"/>
      <c r="D27" s="28"/>
      <c r="E27" s="28"/>
      <c r="F27" s="28"/>
      <c r="G27" s="28"/>
      <c r="H27" s="28"/>
      <c r="I27" s="219"/>
      <c r="J27" s="28"/>
      <c r="K27" s="28"/>
      <c r="L27" s="28"/>
      <c r="M27" s="28"/>
      <c r="N27" s="28"/>
      <c r="O27" s="28"/>
    </row>
    <row r="28" spans="1:19" x14ac:dyDescent="0.25">
      <c r="A28" s="28"/>
      <c r="B28" s="28" t="s">
        <v>656</v>
      </c>
      <c r="C28" s="28"/>
      <c r="D28" s="28"/>
      <c r="E28" s="28"/>
      <c r="F28" s="28"/>
      <c r="G28" s="28"/>
      <c r="H28" s="28"/>
      <c r="I28" s="219"/>
      <c r="J28" s="28"/>
      <c r="K28" s="28"/>
      <c r="L28" s="28"/>
      <c r="M28" s="28"/>
      <c r="N28" s="28" t="s">
        <v>34</v>
      </c>
      <c r="O28" s="28"/>
    </row>
    <row r="29" spans="1:19" x14ac:dyDescent="0.25">
      <c r="A29" s="28" t="s">
        <v>264</v>
      </c>
      <c r="B29" s="28"/>
      <c r="C29" s="28"/>
      <c r="D29" s="28"/>
      <c r="E29" s="28"/>
      <c r="F29" s="28"/>
      <c r="G29" s="28"/>
      <c r="H29" s="28"/>
      <c r="I29" s="219"/>
      <c r="J29" s="28" t="s">
        <v>34</v>
      </c>
      <c r="K29" s="28"/>
      <c r="L29" s="28" t="s">
        <v>34</v>
      </c>
      <c r="M29" s="28"/>
      <c r="N29" s="28"/>
      <c r="O29" s="28"/>
    </row>
    <row r="30" spans="1:19" x14ac:dyDescent="0.25">
      <c r="A30" s="59"/>
      <c r="F30" s="28"/>
      <c r="G30" s="28"/>
      <c r="H30" s="28"/>
      <c r="I30" s="219"/>
      <c r="J30" s="28"/>
      <c r="K30" s="28"/>
      <c r="L30" s="28" t="s">
        <v>34</v>
      </c>
      <c r="M30" s="28" t="s">
        <v>34</v>
      </c>
      <c r="N30" s="28"/>
      <c r="O30" s="28"/>
    </row>
    <row r="31" spans="1:19" x14ac:dyDescent="0.25">
      <c r="A31" s="19" t="s">
        <v>28</v>
      </c>
      <c r="B31" s="28"/>
      <c r="C31" s="28"/>
      <c r="D31" s="28"/>
      <c r="E31" s="28"/>
      <c r="F31" s="28"/>
      <c r="G31" s="28"/>
      <c r="H31" s="28"/>
      <c r="I31" s="218"/>
      <c r="J31" s="28"/>
      <c r="K31" s="28" t="s">
        <v>34</v>
      </c>
      <c r="L31" s="28"/>
      <c r="M31" s="28" t="s">
        <v>34</v>
      </c>
      <c r="N31" s="28"/>
      <c r="O31" s="28"/>
    </row>
    <row r="32" spans="1:19" x14ac:dyDescent="0.25">
      <c r="A32" s="28"/>
      <c r="B32" s="22"/>
      <c r="C32" s="28"/>
      <c r="D32" s="28"/>
      <c r="E32" s="28"/>
      <c r="F32" s="28"/>
      <c r="G32" s="28"/>
      <c r="H32" s="28"/>
      <c r="I32" s="218"/>
      <c r="J32" s="28"/>
      <c r="K32" s="28"/>
      <c r="L32" s="28" t="s">
        <v>34</v>
      </c>
      <c r="M32" s="28" t="s">
        <v>34</v>
      </c>
      <c r="N32" s="28"/>
      <c r="O32" s="28"/>
    </row>
    <row r="33" spans="1:15" x14ac:dyDescent="0.25">
      <c r="A33" s="28"/>
      <c r="B33" s="189"/>
      <c r="C33" s="189"/>
      <c r="D33" s="189"/>
      <c r="E33" s="189"/>
      <c r="F33" s="189"/>
      <c r="G33" s="189"/>
      <c r="H33" s="189"/>
      <c r="I33" s="189"/>
      <c r="J33" s="189"/>
      <c r="K33" s="189"/>
      <c r="L33" s="189" t="s">
        <v>34</v>
      </c>
      <c r="M33" s="28"/>
      <c r="N33" s="28"/>
      <c r="O33" s="28"/>
    </row>
    <row r="34" spans="1:15" x14ac:dyDescent="0.25">
      <c r="A34" s="28"/>
      <c r="B34" s="189"/>
      <c r="C34" s="189"/>
      <c r="D34" s="189"/>
      <c r="E34" s="189"/>
      <c r="F34" s="189"/>
      <c r="G34" s="189"/>
      <c r="H34" s="189"/>
      <c r="I34" s="189"/>
      <c r="J34" s="189"/>
      <c r="K34" s="189"/>
      <c r="L34" s="189"/>
      <c r="M34" s="28"/>
      <c r="N34" s="28"/>
      <c r="O34" s="28"/>
    </row>
    <row r="35" spans="1:15" x14ac:dyDescent="0.25">
      <c r="A35" s="28"/>
      <c r="B35" s="22"/>
      <c r="C35" s="28"/>
      <c r="D35" s="28"/>
      <c r="E35" s="28"/>
      <c r="F35" s="28"/>
      <c r="G35" s="28"/>
      <c r="H35" s="28"/>
      <c r="I35" s="218"/>
      <c r="J35" s="28"/>
      <c r="K35" s="28"/>
      <c r="L35" s="28"/>
      <c r="M35" s="28" t="s">
        <v>34</v>
      </c>
      <c r="N35" s="28"/>
      <c r="O35" s="28"/>
    </row>
    <row r="36" spans="1:15" x14ac:dyDescent="0.25">
      <c r="A36" s="28"/>
      <c r="B36" s="189"/>
      <c r="C36" t="s">
        <v>687</v>
      </c>
      <c r="D36">
        <f>50.4*8.25/100*1000</f>
        <v>4158</v>
      </c>
      <c r="E36" s="189"/>
      <c r="F36" s="189"/>
      <c r="G36" s="189"/>
      <c r="H36" s="189"/>
      <c r="I36" s="189"/>
      <c r="J36" s="189"/>
      <c r="K36" s="189"/>
      <c r="M36" s="28"/>
      <c r="N36" s="28"/>
      <c r="O36" s="28"/>
    </row>
    <row r="37" spans="1:15" x14ac:dyDescent="0.25">
      <c r="A37" s="28"/>
      <c r="B37" s="189"/>
      <c r="C37" t="s">
        <v>688</v>
      </c>
      <c r="D37" s="28">
        <f>(1600+15-200)</f>
        <v>1415</v>
      </c>
      <c r="E37" s="189"/>
      <c r="F37" s="189"/>
      <c r="G37" s="189"/>
      <c r="H37" s="189"/>
      <c r="I37" s="189"/>
      <c r="J37" s="189"/>
      <c r="K37" s="189"/>
      <c r="M37" s="28"/>
      <c r="N37" s="28"/>
      <c r="O37" s="28"/>
    </row>
    <row r="38" spans="1:15" x14ac:dyDescent="0.25">
      <c r="A38" s="28"/>
      <c r="B38" s="69"/>
      <c r="C38" t="s">
        <v>686</v>
      </c>
      <c r="D38">
        <f>D36/D37*1000</f>
        <v>2938.515901060071</v>
      </c>
      <c r="E38" s="87"/>
      <c r="F38" s="87"/>
      <c r="G38" s="87"/>
      <c r="H38" s="87"/>
      <c r="I38" s="88"/>
      <c r="J38" s="87"/>
      <c r="K38" s="87"/>
      <c r="L38" s="28"/>
      <c r="M38" s="28"/>
      <c r="N38" s="28"/>
      <c r="O38" s="28"/>
    </row>
    <row r="39" spans="1:15" x14ac:dyDescent="0.25">
      <c r="A39" s="28"/>
      <c r="B39" s="75"/>
      <c r="C39" s="28"/>
      <c r="D39" s="28"/>
      <c r="E39" s="28"/>
      <c r="F39" s="28"/>
      <c r="G39" s="28"/>
      <c r="H39" s="28"/>
      <c r="I39" s="218"/>
      <c r="J39" s="28"/>
      <c r="K39" s="28"/>
      <c r="N39" s="28"/>
      <c r="O39" s="28"/>
    </row>
    <row r="40" spans="1:15" x14ac:dyDescent="0.25">
      <c r="A40" s="28"/>
      <c r="B40" s="22"/>
      <c r="L40" s="28"/>
      <c r="N40" s="28"/>
      <c r="O40" s="28"/>
    </row>
    <row r="41" spans="1:15" x14ac:dyDescent="0.25">
      <c r="A41" s="28"/>
      <c r="B41" s="22"/>
      <c r="L41" s="28"/>
      <c r="N41" s="28"/>
      <c r="O41" s="28" t="s">
        <v>34</v>
      </c>
    </row>
    <row r="42" spans="1:15" x14ac:dyDescent="0.25">
      <c r="A42" s="28"/>
      <c r="B42" s="22"/>
      <c r="L42" s="28"/>
      <c r="M42" s="28"/>
      <c r="N42" s="28"/>
      <c r="O42" s="28"/>
    </row>
    <row r="43" spans="1:15" x14ac:dyDescent="0.25">
      <c r="B43" s="189"/>
      <c r="C43" s="64"/>
      <c r="D43" s="64"/>
      <c r="E43" s="64"/>
      <c r="F43" s="64"/>
      <c r="G43" s="64"/>
      <c r="H43" s="64"/>
      <c r="I43" s="64"/>
      <c r="J43" s="64"/>
      <c r="K43" s="64"/>
      <c r="L43" s="65"/>
      <c r="M43" s="28"/>
      <c r="N43" s="28"/>
      <c r="O43" s="28"/>
    </row>
    <row r="44" spans="1:15" x14ac:dyDescent="0.25">
      <c r="B44" s="189"/>
    </row>
    <row r="45" spans="1:15" x14ac:dyDescent="0.25">
      <c r="B45" s="22"/>
      <c r="C45" s="28"/>
      <c r="D45" s="28"/>
      <c r="E45" s="28"/>
      <c r="F45" s="28"/>
      <c r="G45" s="28"/>
      <c r="H45" s="28"/>
      <c r="I45" s="218"/>
      <c r="J45" s="28"/>
    </row>
    <row r="46" spans="1:15" x14ac:dyDescent="0.25">
      <c r="B46" s="189"/>
      <c r="C46" s="64"/>
      <c r="D46" s="64"/>
      <c r="E46" s="64"/>
      <c r="F46" s="64"/>
      <c r="G46" s="64"/>
      <c r="H46" s="64"/>
      <c r="I46" s="64"/>
      <c r="J46" s="64"/>
      <c r="K46" s="64"/>
      <c r="L46" s="65"/>
      <c r="O46" t="s">
        <v>34</v>
      </c>
    </row>
    <row r="47" spans="1:15" x14ac:dyDescent="0.25">
      <c r="B47" s="189"/>
      <c r="C47" s="189"/>
      <c r="D47" s="189"/>
      <c r="E47" s="189"/>
      <c r="F47" s="189"/>
      <c r="G47" s="189"/>
      <c r="H47" s="189"/>
      <c r="I47" s="189"/>
      <c r="J47" s="189"/>
      <c r="K47" s="189"/>
      <c r="N47" t="s">
        <v>34</v>
      </c>
    </row>
    <row r="48" spans="1:15" x14ac:dyDescent="0.25">
      <c r="B48" s="189"/>
      <c r="C48" s="189"/>
      <c r="D48" s="189"/>
      <c r="E48" s="189"/>
      <c r="F48" s="189"/>
      <c r="G48" s="189"/>
      <c r="H48" s="189"/>
      <c r="I48" s="189"/>
      <c r="J48" s="189"/>
      <c r="K48" s="189"/>
    </row>
    <row r="49" spans="2:14" x14ac:dyDescent="0.25">
      <c r="B49" s="22"/>
      <c r="C49" s="28"/>
      <c r="D49" s="28"/>
      <c r="E49" s="28"/>
      <c r="F49" s="28"/>
      <c r="G49" s="28"/>
      <c r="H49" s="218"/>
      <c r="I49" s="28"/>
      <c r="J49" s="189"/>
      <c r="K49" s="28"/>
    </row>
    <row r="50" spans="2:14" x14ac:dyDescent="0.25">
      <c r="N50" t="s">
        <v>34</v>
      </c>
    </row>
  </sheetData>
  <pageMargins left="0.7" right="0.7" top="0.75" bottom="0.75" header="0.3" footer="0.3"/>
  <pageSetup scale="63" orientation="landscape" verticalDpi="597" r:id="rId1"/>
  <drawing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5:S44"/>
  <sheetViews>
    <sheetView workbookViewId="0"/>
  </sheetViews>
  <sheetFormatPr defaultRowHeight="15" x14ac:dyDescent="0.25"/>
  <sheetData>
    <row r="5" spans="1:15" x14ac:dyDescent="0.25">
      <c r="A5" s="7" t="s">
        <v>12</v>
      </c>
      <c r="B5" s="28"/>
      <c r="C5" s="28"/>
      <c r="D5" s="28"/>
      <c r="E5" s="28"/>
      <c r="F5" s="28"/>
      <c r="G5" s="28"/>
      <c r="H5" s="28"/>
      <c r="I5" s="259"/>
      <c r="J5" s="28"/>
      <c r="K5" s="28"/>
      <c r="L5" s="28"/>
      <c r="M5" s="28"/>
      <c r="N5" s="28"/>
      <c r="O5" s="28"/>
    </row>
    <row r="6" spans="1:15" x14ac:dyDescent="0.25">
      <c r="A6" s="30" t="s">
        <v>13</v>
      </c>
      <c r="B6" s="30">
        <v>42031</v>
      </c>
    </row>
    <row r="7" spans="1:15" x14ac:dyDescent="0.25">
      <c r="A7" s="28" t="s">
        <v>14</v>
      </c>
      <c r="B7" s="28">
        <v>10</v>
      </c>
      <c r="C7" s="28" t="s">
        <v>657</v>
      </c>
      <c r="D7" s="28"/>
      <c r="E7" s="28"/>
      <c r="F7" s="28"/>
      <c r="G7" s="28"/>
      <c r="H7" s="28"/>
      <c r="I7" s="259"/>
      <c r="J7" s="28"/>
      <c r="K7" s="28" t="s">
        <v>34</v>
      </c>
      <c r="L7" s="28" t="s">
        <v>34</v>
      </c>
      <c r="M7" s="28"/>
      <c r="N7" s="28"/>
      <c r="O7" s="28"/>
    </row>
    <row r="8" spans="1:15" x14ac:dyDescent="0.25">
      <c r="A8" s="28" t="s">
        <v>15</v>
      </c>
      <c r="B8" s="28">
        <v>10</v>
      </c>
      <c r="C8" s="28" t="s">
        <v>240</v>
      </c>
      <c r="D8" s="28"/>
      <c r="E8" s="28"/>
      <c r="F8" s="28"/>
      <c r="G8" s="28"/>
      <c r="H8" s="28"/>
      <c r="I8" s="259"/>
      <c r="J8" s="28"/>
      <c r="K8" s="28"/>
      <c r="L8" s="28"/>
      <c r="M8" s="28"/>
      <c r="N8" s="28"/>
      <c r="O8" s="28"/>
    </row>
    <row r="9" spans="1:15" x14ac:dyDescent="0.25">
      <c r="A9" s="28" t="s">
        <v>16</v>
      </c>
      <c r="B9" s="87">
        <v>1600</v>
      </c>
      <c r="C9" s="31" t="s">
        <v>739</v>
      </c>
      <c r="D9" s="28"/>
      <c r="E9" s="28"/>
      <c r="F9" s="28"/>
      <c r="G9" s="28"/>
      <c r="H9" s="28"/>
      <c r="I9" s="259" t="s">
        <v>34</v>
      </c>
      <c r="J9" s="28" t="s">
        <v>34</v>
      </c>
      <c r="K9" s="28" t="s">
        <v>34</v>
      </c>
      <c r="L9" s="28" t="s">
        <v>34</v>
      </c>
      <c r="M9" s="28" t="s">
        <v>34</v>
      </c>
      <c r="N9" s="28" t="s">
        <v>34</v>
      </c>
      <c r="O9" s="28"/>
    </row>
    <row r="10" spans="1:15" x14ac:dyDescent="0.25">
      <c r="A10" s="28"/>
      <c r="B10" s="243">
        <v>200000000</v>
      </c>
      <c r="C10" s="31" t="s">
        <v>58</v>
      </c>
      <c r="D10" s="28"/>
      <c r="E10" s="28"/>
      <c r="F10" s="28"/>
      <c r="G10" s="28"/>
      <c r="H10" s="28"/>
      <c r="I10" s="259"/>
      <c r="J10" s="28"/>
      <c r="K10" s="28" t="s">
        <v>34</v>
      </c>
      <c r="L10" s="28"/>
      <c r="M10" s="28"/>
      <c r="N10" s="28"/>
      <c r="O10" s="28"/>
    </row>
    <row r="11" spans="1:15" x14ac:dyDescent="0.25">
      <c r="A11" s="28"/>
      <c r="B11" s="87">
        <v>50.4</v>
      </c>
      <c r="C11" s="31" t="s">
        <v>646</v>
      </c>
      <c r="D11" s="28"/>
      <c r="E11" s="28"/>
      <c r="F11" s="28"/>
      <c r="G11" s="28"/>
      <c r="H11" s="28"/>
      <c r="I11" s="259"/>
      <c r="J11" s="28"/>
      <c r="K11" s="28"/>
      <c r="L11" s="28"/>
      <c r="M11" s="28"/>
      <c r="N11" s="28"/>
      <c r="O11" s="28"/>
    </row>
    <row r="12" spans="1:15" x14ac:dyDescent="0.25">
      <c r="A12" s="28"/>
      <c r="B12" s="87">
        <v>8.25</v>
      </c>
      <c r="C12" s="28" t="s">
        <v>697</v>
      </c>
      <c r="D12" s="28"/>
      <c r="E12" s="28"/>
      <c r="F12" s="28"/>
      <c r="G12" s="28"/>
      <c r="H12" s="28"/>
      <c r="I12" s="259"/>
      <c r="J12" s="28"/>
      <c r="K12" s="28"/>
      <c r="L12" s="28"/>
      <c r="M12" s="28"/>
      <c r="N12" s="28"/>
      <c r="O12" s="28"/>
    </row>
    <row r="13" spans="1:15" x14ac:dyDescent="0.25">
      <c r="A13" s="28"/>
      <c r="B13" s="28">
        <v>200</v>
      </c>
      <c r="C13" s="87" t="s">
        <v>696</v>
      </c>
      <c r="D13" s="28"/>
      <c r="E13" s="28"/>
      <c r="F13" s="28"/>
      <c r="G13" s="28"/>
      <c r="H13" s="28"/>
      <c r="I13" s="259"/>
      <c r="J13" s="28"/>
      <c r="K13" s="28"/>
      <c r="L13" s="28"/>
      <c r="M13" s="28"/>
      <c r="N13" s="28"/>
      <c r="O13" s="28"/>
    </row>
    <row r="14" spans="1:15" x14ac:dyDescent="0.25">
      <c r="A14" s="28"/>
      <c r="B14" s="28">
        <v>0</v>
      </c>
      <c r="C14" s="87" t="s">
        <v>698</v>
      </c>
      <c r="D14" s="28"/>
      <c r="E14" s="28"/>
      <c r="F14" s="28"/>
      <c r="G14" s="28"/>
      <c r="H14" s="28"/>
      <c r="I14" s="259"/>
      <c r="J14" s="28"/>
      <c r="K14" s="28"/>
      <c r="L14" s="28"/>
      <c r="M14" s="28"/>
      <c r="N14" s="28"/>
      <c r="O14" s="28"/>
    </row>
    <row r="15" spans="1:15" x14ac:dyDescent="0.25">
      <c r="A15" s="28"/>
      <c r="B15" s="245">
        <f>(B11*B12/100*1000)/(B9+B11-B13+B14)*1000</f>
        <v>2866.7953667953666</v>
      </c>
      <c r="C15" s="28" t="s">
        <v>700</v>
      </c>
      <c r="D15" s="28"/>
      <c r="E15" s="28"/>
      <c r="F15" s="28"/>
      <c r="G15" s="28"/>
      <c r="H15" s="28"/>
      <c r="I15" s="259"/>
      <c r="J15" s="28"/>
      <c r="K15" s="28"/>
      <c r="L15" s="28"/>
      <c r="M15" s="28"/>
      <c r="N15" s="28"/>
      <c r="O15" s="28"/>
    </row>
    <row r="16" spans="1:15" ht="15.75" thickBot="1" x14ac:dyDescent="0.3">
      <c r="A16" s="28"/>
      <c r="B16" s="28" t="s">
        <v>647</v>
      </c>
      <c r="C16" s="28"/>
      <c r="D16" s="28"/>
      <c r="E16" s="28"/>
      <c r="F16" s="28"/>
      <c r="G16" s="28"/>
      <c r="H16" s="28"/>
      <c r="I16" s="259"/>
      <c r="J16" s="28"/>
      <c r="K16" s="28"/>
      <c r="L16" s="28"/>
      <c r="M16" s="28"/>
      <c r="N16" s="28"/>
      <c r="O16" s="28"/>
    </row>
    <row r="17" spans="1:19" ht="90" thickBot="1" x14ac:dyDescent="0.3">
      <c r="A17" s="10" t="s">
        <v>29</v>
      </c>
      <c r="B17" s="11" t="s">
        <v>17</v>
      </c>
      <c r="C17" s="11" t="s">
        <v>30</v>
      </c>
      <c r="D17" s="11" t="s">
        <v>31</v>
      </c>
      <c r="E17" s="11" t="s">
        <v>32</v>
      </c>
      <c r="F17" s="11" t="s">
        <v>33</v>
      </c>
      <c r="G17" s="11" t="s">
        <v>202</v>
      </c>
      <c r="H17" s="11" t="s">
        <v>19</v>
      </c>
      <c r="I17" s="12" t="s">
        <v>610</v>
      </c>
      <c r="J17" s="11" t="s">
        <v>21</v>
      </c>
      <c r="K17" s="13" t="s">
        <v>611</v>
      </c>
      <c r="L17" s="11" t="s">
        <v>21</v>
      </c>
      <c r="M17" s="14" t="s">
        <v>23</v>
      </c>
      <c r="N17" s="14" t="s">
        <v>24</v>
      </c>
      <c r="O17" s="14" t="s">
        <v>25</v>
      </c>
      <c r="P17" s="14" t="s">
        <v>678</v>
      </c>
      <c r="Q17" s="14" t="s">
        <v>681</v>
      </c>
      <c r="R17" s="14" t="s">
        <v>897</v>
      </c>
      <c r="S17" s="14" t="s">
        <v>729</v>
      </c>
    </row>
    <row r="18" spans="1:19" ht="15.75" thickBot="1" x14ac:dyDescent="0.3">
      <c r="A18" s="32">
        <v>0</v>
      </c>
      <c r="B18" s="23">
        <v>19.600000000000001</v>
      </c>
      <c r="C18" s="23">
        <v>6.29</v>
      </c>
      <c r="D18" s="23">
        <v>6.46</v>
      </c>
      <c r="E18" s="23">
        <v>1.04</v>
      </c>
      <c r="F18" s="23">
        <v>6.8</v>
      </c>
      <c r="G18" s="23">
        <v>377</v>
      </c>
      <c r="H18" s="23">
        <v>1041</v>
      </c>
      <c r="I18" s="33">
        <v>30000000</v>
      </c>
      <c r="J18" s="125">
        <f>LOG(I18)-LOG(I18)</f>
        <v>0</v>
      </c>
      <c r="K18" s="23" t="s">
        <v>26</v>
      </c>
      <c r="L18" s="23" t="s">
        <v>26</v>
      </c>
      <c r="M18" s="23" t="s">
        <v>26</v>
      </c>
      <c r="N18" s="23" t="s">
        <v>26</v>
      </c>
      <c r="O18" s="23" t="s">
        <v>26</v>
      </c>
      <c r="P18" s="233">
        <f>B$15*A18</f>
        <v>0</v>
      </c>
      <c r="Q18" s="233">
        <f>6/LINEST(J18:J23,P18:P23,FALSE)</f>
        <v>40487.638881255807</v>
      </c>
      <c r="R18" s="233">
        <f>Q18/3000</f>
        <v>13.495879627085269</v>
      </c>
      <c r="S18" s="233">
        <f>(J25/LINEST($J18:$J23,$P18:$P23,FALSE))/$B$15</f>
        <v>17.653701128359014</v>
      </c>
    </row>
    <row r="19" spans="1:19" ht="15.75" thickBot="1" x14ac:dyDescent="0.3">
      <c r="A19" s="32">
        <v>3</v>
      </c>
      <c r="B19" s="24">
        <v>20</v>
      </c>
      <c r="C19" s="24">
        <v>9.16</v>
      </c>
      <c r="D19" s="24">
        <v>11.2</v>
      </c>
      <c r="E19" s="221">
        <v>9000</v>
      </c>
      <c r="F19" s="24">
        <v>3.6</v>
      </c>
      <c r="G19" s="24">
        <v>277</v>
      </c>
      <c r="H19" s="24">
        <v>1052</v>
      </c>
      <c r="I19" s="33">
        <v>350000</v>
      </c>
      <c r="J19" s="125">
        <f>LOG(I$18)-LOG(I19)</f>
        <v>1.9330532103693869</v>
      </c>
      <c r="K19" s="23" t="s">
        <v>26</v>
      </c>
      <c r="L19" s="23" t="s">
        <v>26</v>
      </c>
      <c r="M19" s="23" t="s">
        <v>26</v>
      </c>
      <c r="N19" s="23" t="s">
        <v>26</v>
      </c>
      <c r="O19" s="23" t="s">
        <v>26</v>
      </c>
      <c r="P19" s="233">
        <f t="shared" ref="P19:P24" si="0">B$15*A19</f>
        <v>8600.3861003861002</v>
      </c>
    </row>
    <row r="20" spans="1:19" ht="15.75" thickBot="1" x14ac:dyDescent="0.3">
      <c r="A20" s="32">
        <v>5</v>
      </c>
      <c r="B20" s="24">
        <v>20.2</v>
      </c>
      <c r="C20" s="24">
        <v>9.14</v>
      </c>
      <c r="D20" s="24">
        <v>11.28</v>
      </c>
      <c r="E20" s="221">
        <v>5000</v>
      </c>
      <c r="F20" s="24">
        <v>3.4</v>
      </c>
      <c r="G20" s="24">
        <v>314</v>
      </c>
      <c r="H20" s="24">
        <v>1044</v>
      </c>
      <c r="I20" s="33">
        <v>245</v>
      </c>
      <c r="J20" s="125">
        <f>LOG(I$18)-LOG(I20)</f>
        <v>5.08795517035513</v>
      </c>
      <c r="K20" s="23" t="s">
        <v>26</v>
      </c>
      <c r="L20" s="23" t="s">
        <v>26</v>
      </c>
      <c r="M20" s="23" t="s">
        <v>26</v>
      </c>
      <c r="N20" s="23" t="s">
        <v>26</v>
      </c>
      <c r="O20" s="23" t="s">
        <v>26</v>
      </c>
      <c r="P20" s="233">
        <f t="shared" si="0"/>
        <v>14333.976833976832</v>
      </c>
    </row>
    <row r="21" spans="1:19" ht="15.75" thickBot="1" x14ac:dyDescent="0.3">
      <c r="A21" s="32">
        <v>10</v>
      </c>
      <c r="B21" s="24">
        <v>20.5</v>
      </c>
      <c r="C21" s="24">
        <v>9.08</v>
      </c>
      <c r="D21" s="24">
        <v>11.31</v>
      </c>
      <c r="E21" s="221">
        <v>9000</v>
      </c>
      <c r="F21" s="24">
        <v>3.5</v>
      </c>
      <c r="G21" s="24">
        <v>295</v>
      </c>
      <c r="H21" s="24">
        <v>1027</v>
      </c>
      <c r="I21" s="33">
        <v>15</v>
      </c>
      <c r="J21" s="125">
        <f>LOG(I$18)-LOG(I21)</f>
        <v>6.3010299956639813</v>
      </c>
      <c r="K21" s="23" t="s">
        <v>26</v>
      </c>
      <c r="L21" s="23" t="s">
        <v>26</v>
      </c>
      <c r="M21" s="23" t="s">
        <v>26</v>
      </c>
      <c r="N21" s="23" t="s">
        <v>26</v>
      </c>
      <c r="O21" s="23" t="s">
        <v>26</v>
      </c>
      <c r="P21" s="233">
        <f t="shared" si="0"/>
        <v>28667.953667953665</v>
      </c>
    </row>
    <row r="22" spans="1:19" ht="15.75" thickBot="1" x14ac:dyDescent="0.3">
      <c r="A22" s="32">
        <v>15</v>
      </c>
      <c r="B22" s="24">
        <v>20.8</v>
      </c>
      <c r="C22" s="24">
        <v>9.02</v>
      </c>
      <c r="D22" s="24">
        <v>11.41</v>
      </c>
      <c r="E22" s="221">
        <v>4000</v>
      </c>
      <c r="F22" s="24">
        <v>3.3</v>
      </c>
      <c r="G22" s="24">
        <v>263</v>
      </c>
      <c r="H22" s="24">
        <v>1041</v>
      </c>
      <c r="I22" s="33">
        <v>20</v>
      </c>
      <c r="J22" s="125">
        <f>LOG(I$18)-LOG(I22)</f>
        <v>6.1760912590556813</v>
      </c>
      <c r="K22" s="23" t="s">
        <v>26</v>
      </c>
      <c r="L22" s="23" t="s">
        <v>26</v>
      </c>
      <c r="M22" s="23" t="s">
        <v>26</v>
      </c>
      <c r="N22" s="23" t="s">
        <v>26</v>
      </c>
      <c r="O22" s="23" t="s">
        <v>26</v>
      </c>
      <c r="P22" s="233">
        <f t="shared" si="0"/>
        <v>43001.930501930496</v>
      </c>
    </row>
    <row r="23" spans="1:19" ht="15.75" thickBot="1" x14ac:dyDescent="0.3">
      <c r="A23" s="32">
        <v>20</v>
      </c>
      <c r="B23" s="24">
        <v>20.9</v>
      </c>
      <c r="C23" s="24">
        <v>8.98</v>
      </c>
      <c r="D23" s="24">
        <v>11.51</v>
      </c>
      <c r="E23" s="221">
        <v>5000</v>
      </c>
      <c r="F23" s="58">
        <v>3.6</v>
      </c>
      <c r="G23" s="24">
        <v>267</v>
      </c>
      <c r="H23" s="24">
        <v>1025</v>
      </c>
      <c r="I23" s="33">
        <v>5</v>
      </c>
      <c r="J23" s="125">
        <f>LOG(I$18)-LOG(I23)</f>
        <v>6.7781512503836439</v>
      </c>
      <c r="K23" s="23" t="s">
        <v>26</v>
      </c>
      <c r="L23" s="23" t="s">
        <v>26</v>
      </c>
      <c r="M23" s="23" t="s">
        <v>26</v>
      </c>
      <c r="N23" s="23" t="s">
        <v>26</v>
      </c>
      <c r="O23" s="23" t="s">
        <v>26</v>
      </c>
      <c r="P23" s="233">
        <f t="shared" si="0"/>
        <v>57335.90733590733</v>
      </c>
    </row>
    <row r="24" spans="1:19" ht="15.75" thickBot="1" x14ac:dyDescent="0.3">
      <c r="A24" s="32">
        <v>30</v>
      </c>
      <c r="B24" s="24">
        <v>21</v>
      </c>
      <c r="C24" s="24">
        <v>8.91</v>
      </c>
      <c r="D24" s="24">
        <v>11.68</v>
      </c>
      <c r="E24" s="221">
        <v>6000</v>
      </c>
      <c r="F24" s="58">
        <v>3.2</v>
      </c>
      <c r="G24" s="24">
        <v>288</v>
      </c>
      <c r="H24" s="24">
        <v>1039</v>
      </c>
      <c r="I24" s="33">
        <v>0</v>
      </c>
      <c r="J24" s="24" t="s">
        <v>632</v>
      </c>
      <c r="K24" s="23" t="s">
        <v>26</v>
      </c>
      <c r="L24" s="23" t="s">
        <v>26</v>
      </c>
      <c r="M24" s="23">
        <v>264</v>
      </c>
      <c r="N24" s="23">
        <v>5837</v>
      </c>
      <c r="O24" s="23"/>
      <c r="P24" s="233">
        <f t="shared" si="0"/>
        <v>86003.861003860991</v>
      </c>
    </row>
    <row r="25" spans="1:19" x14ac:dyDescent="0.25">
      <c r="B25">
        <f>AVERAGE(B19:B23)</f>
        <v>20.48</v>
      </c>
      <c r="C25">
        <f>AVERAGE(C19:C23)</f>
        <v>9.0760000000000023</v>
      </c>
      <c r="J25">
        <v>7.5</v>
      </c>
      <c r="N25" s="28"/>
      <c r="O25" s="28"/>
    </row>
    <row r="26" spans="1:19" x14ac:dyDescent="0.25">
      <c r="A26" s="28" t="s">
        <v>140</v>
      </c>
      <c r="B26" s="28"/>
      <c r="C26" s="28"/>
      <c r="D26" s="28"/>
      <c r="E26" s="28"/>
      <c r="F26" s="28"/>
      <c r="G26" s="28"/>
      <c r="H26" s="28"/>
      <c r="I26" s="259"/>
      <c r="J26" s="28"/>
      <c r="K26" s="28"/>
      <c r="L26" s="28"/>
      <c r="M26" s="28"/>
      <c r="N26" s="28"/>
      <c r="O26" s="28"/>
    </row>
    <row r="27" spans="1:19" x14ac:dyDescent="0.25">
      <c r="A27" s="28"/>
      <c r="B27" s="28" t="s">
        <v>141</v>
      </c>
      <c r="C27" s="28"/>
      <c r="D27" s="28"/>
      <c r="E27" s="28"/>
      <c r="F27" s="28"/>
      <c r="G27" s="28"/>
      <c r="H27" s="28"/>
      <c r="I27" s="259"/>
      <c r="J27" s="28"/>
      <c r="K27" s="28"/>
      <c r="L27" s="28"/>
      <c r="M27" s="28"/>
      <c r="N27" s="28" t="s">
        <v>34</v>
      </c>
      <c r="O27" s="28"/>
    </row>
    <row r="28" spans="1:19" x14ac:dyDescent="0.25">
      <c r="A28" s="28" t="s">
        <v>264</v>
      </c>
      <c r="B28" s="28"/>
      <c r="C28" s="28"/>
      <c r="D28" s="28"/>
      <c r="E28" s="28"/>
      <c r="F28" s="28"/>
      <c r="G28" s="28"/>
      <c r="H28" s="28"/>
      <c r="I28" s="259"/>
      <c r="J28" s="28" t="s">
        <v>34</v>
      </c>
      <c r="K28" s="28"/>
      <c r="L28" s="28" t="s">
        <v>34</v>
      </c>
      <c r="M28" s="28"/>
      <c r="N28" s="28"/>
      <c r="O28" s="28"/>
    </row>
    <row r="29" spans="1:19" x14ac:dyDescent="0.25">
      <c r="A29" s="59"/>
      <c r="F29" s="28"/>
      <c r="G29" s="28"/>
      <c r="H29" s="28"/>
      <c r="I29" s="259"/>
      <c r="J29" s="28"/>
      <c r="K29" s="28"/>
      <c r="L29" s="28" t="s">
        <v>34</v>
      </c>
      <c r="M29" s="28" t="s">
        <v>34</v>
      </c>
      <c r="N29" s="28"/>
      <c r="O29" s="28"/>
    </row>
    <row r="30" spans="1:19" x14ac:dyDescent="0.25">
      <c r="A30" s="19" t="s">
        <v>28</v>
      </c>
      <c r="B30" s="28"/>
      <c r="C30" s="28"/>
      <c r="D30" s="28"/>
      <c r="E30" s="28"/>
      <c r="F30" s="28"/>
      <c r="G30" s="28"/>
      <c r="H30" s="28"/>
      <c r="I30" s="259"/>
      <c r="J30" s="28"/>
      <c r="K30" s="28" t="s">
        <v>34</v>
      </c>
      <c r="L30" s="28"/>
      <c r="M30" s="28" t="s">
        <v>34</v>
      </c>
      <c r="N30" s="28"/>
      <c r="O30" s="28"/>
    </row>
    <row r="31" spans="1:19" x14ac:dyDescent="0.25">
      <c r="A31" s="28"/>
      <c r="B31" s="22" t="s">
        <v>658</v>
      </c>
      <c r="C31" s="28"/>
      <c r="D31" s="28"/>
      <c r="E31" s="28"/>
      <c r="F31" s="28"/>
      <c r="G31" s="28"/>
      <c r="H31" s="28"/>
      <c r="I31" s="259"/>
      <c r="J31" s="28"/>
      <c r="K31" s="28"/>
      <c r="L31" s="28" t="s">
        <v>34</v>
      </c>
      <c r="M31" s="28" t="s">
        <v>34</v>
      </c>
      <c r="N31" s="28"/>
      <c r="O31" s="28"/>
    </row>
    <row r="32" spans="1:19" x14ac:dyDescent="0.25">
      <c r="A32" s="28"/>
      <c r="B32" s="189" t="s">
        <v>659</v>
      </c>
      <c r="C32" s="189"/>
      <c r="D32" s="189"/>
      <c r="E32" s="189"/>
      <c r="F32" s="189"/>
      <c r="G32" s="189"/>
      <c r="H32" s="189"/>
      <c r="I32" s="189"/>
      <c r="J32" s="189"/>
      <c r="K32" s="189"/>
      <c r="L32" s="189" t="s">
        <v>34</v>
      </c>
      <c r="M32" s="28"/>
      <c r="N32" s="28"/>
      <c r="O32" s="28"/>
    </row>
    <row r="33" spans="1:15" x14ac:dyDescent="0.25">
      <c r="A33" s="28"/>
      <c r="B33" s="189"/>
      <c r="C33" s="189"/>
      <c r="D33" s="189"/>
      <c r="E33" s="189"/>
      <c r="F33" s="189"/>
      <c r="G33" s="189"/>
      <c r="H33" s="189"/>
      <c r="I33" s="189"/>
      <c r="J33" s="189"/>
      <c r="K33" s="189"/>
      <c r="L33" s="189"/>
      <c r="M33" s="28"/>
      <c r="N33" s="28"/>
      <c r="O33" s="28"/>
    </row>
    <row r="34" spans="1:15" x14ac:dyDescent="0.25">
      <c r="A34" s="28"/>
      <c r="B34" s="22"/>
      <c r="C34" s="28"/>
      <c r="D34" s="28"/>
      <c r="E34" s="28"/>
      <c r="F34" s="28"/>
      <c r="G34" s="28"/>
      <c r="H34" s="28"/>
      <c r="I34" s="259"/>
      <c r="J34" s="28"/>
      <c r="K34" s="28"/>
      <c r="L34" s="28"/>
      <c r="M34" s="28" t="s">
        <v>34</v>
      </c>
      <c r="N34" s="28"/>
      <c r="O34" s="28"/>
    </row>
    <row r="35" spans="1:15" x14ac:dyDescent="0.25">
      <c r="A35" s="28"/>
      <c r="B35" s="189"/>
      <c r="C35" t="s">
        <v>687</v>
      </c>
      <c r="D35">
        <f>50.4*8.25/100*1000</f>
        <v>4158</v>
      </c>
      <c r="E35" s="189"/>
      <c r="F35" s="189"/>
      <c r="G35" s="189"/>
      <c r="H35" s="189"/>
      <c r="I35" s="189"/>
      <c r="J35" s="189"/>
      <c r="K35" s="189"/>
      <c r="M35" s="28"/>
      <c r="N35" s="28"/>
      <c r="O35" s="28"/>
    </row>
    <row r="36" spans="1:15" x14ac:dyDescent="0.25">
      <c r="A36" s="28"/>
      <c r="B36" s="189"/>
      <c r="C36" t="s">
        <v>688</v>
      </c>
      <c r="D36" s="28">
        <f>(1600-200)</f>
        <v>1400</v>
      </c>
      <c r="E36" s="189"/>
      <c r="F36" s="189"/>
      <c r="G36" s="189"/>
      <c r="H36" s="189"/>
      <c r="I36" s="189"/>
      <c r="J36" s="189"/>
      <c r="K36" s="189"/>
      <c r="M36" s="28"/>
      <c r="N36" s="28"/>
      <c r="O36" s="28"/>
    </row>
    <row r="37" spans="1:15" x14ac:dyDescent="0.25">
      <c r="A37" s="28"/>
      <c r="B37" s="69"/>
      <c r="C37" t="s">
        <v>686</v>
      </c>
      <c r="D37">
        <f>D35/D36*1000</f>
        <v>2970</v>
      </c>
      <c r="E37" s="87"/>
      <c r="F37" s="87"/>
      <c r="G37" s="87"/>
      <c r="H37" s="87"/>
      <c r="I37" s="88"/>
      <c r="J37" s="87"/>
      <c r="K37" s="87"/>
      <c r="L37" s="28"/>
      <c r="M37" s="28"/>
      <c r="N37" s="28"/>
      <c r="O37" s="28"/>
    </row>
    <row r="38" spans="1:15" x14ac:dyDescent="0.25">
      <c r="A38" s="28"/>
      <c r="B38" s="75"/>
      <c r="C38" s="28"/>
      <c r="D38" s="28"/>
      <c r="E38" s="28"/>
      <c r="F38" s="28"/>
      <c r="G38" s="28"/>
      <c r="H38" s="28"/>
      <c r="I38" s="259"/>
      <c r="J38" s="28"/>
      <c r="K38" s="28"/>
      <c r="N38" s="28"/>
      <c r="O38" s="28"/>
    </row>
    <row r="39" spans="1:15" x14ac:dyDescent="0.25">
      <c r="A39" s="28"/>
      <c r="B39" s="22"/>
      <c r="L39" s="28"/>
      <c r="N39" s="28"/>
      <c r="O39" s="28"/>
    </row>
    <row r="40" spans="1:15" x14ac:dyDescent="0.25">
      <c r="A40" s="28"/>
      <c r="B40" s="22"/>
      <c r="L40" s="28"/>
      <c r="N40" s="28"/>
      <c r="O40" s="28" t="s">
        <v>34</v>
      </c>
    </row>
    <row r="41" spans="1:15" x14ac:dyDescent="0.25">
      <c r="A41" s="28"/>
      <c r="B41" s="22"/>
      <c r="L41" s="28"/>
      <c r="M41" s="28"/>
      <c r="N41" s="28"/>
      <c r="O41" s="28"/>
    </row>
    <row r="42" spans="1:15" x14ac:dyDescent="0.25">
      <c r="B42" s="189"/>
      <c r="C42" s="64"/>
      <c r="D42" s="64"/>
      <c r="E42" s="64"/>
      <c r="F42" s="64"/>
      <c r="G42" s="64"/>
      <c r="H42" s="64"/>
      <c r="I42" s="64"/>
      <c r="J42" s="64"/>
      <c r="K42" s="64"/>
      <c r="L42" s="65"/>
      <c r="M42" s="28"/>
      <c r="N42" s="28"/>
      <c r="O42" s="28"/>
    </row>
    <row r="43" spans="1:15" x14ac:dyDescent="0.25">
      <c r="B43" s="189"/>
    </row>
    <row r="44" spans="1:15" x14ac:dyDescent="0.25">
      <c r="B44" s="22"/>
      <c r="C44" s="28"/>
      <c r="D44" s="28"/>
      <c r="E44" s="28"/>
      <c r="F44" s="28"/>
      <c r="G44" s="28"/>
      <c r="H44" s="28"/>
      <c r="I44" s="259"/>
      <c r="J44" s="28"/>
    </row>
  </sheetData>
  <pageMargins left="0.7" right="0.7" top="0.75" bottom="0.75" header="0.3" footer="0.3"/>
  <pageSetup scale="74" orientation="landscape" verticalDpi="597" r:id="rId1"/>
  <drawing r:id="rId2"/>
  <legacyDrawing r:id="rId3"/>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pageSetUpPr fitToPage="1"/>
  </sheetPr>
  <dimension ref="A1:S54"/>
  <sheetViews>
    <sheetView zoomScale="90" zoomScaleNormal="90" workbookViewId="0"/>
  </sheetViews>
  <sheetFormatPr defaultRowHeight="15" x14ac:dyDescent="0.25"/>
  <cols>
    <col min="2" max="2" width="10" customWidth="1"/>
  </cols>
  <sheetData>
    <row r="1" spans="1:15" x14ac:dyDescent="0.25">
      <c r="A1" s="319" t="s">
        <v>765</v>
      </c>
    </row>
    <row r="6" spans="1:15" x14ac:dyDescent="0.25">
      <c r="A6" s="7" t="s">
        <v>12</v>
      </c>
      <c r="B6" s="28"/>
      <c r="C6" s="28"/>
      <c r="D6" s="28"/>
      <c r="E6" s="28"/>
      <c r="F6" s="28"/>
      <c r="G6" s="28"/>
      <c r="H6" s="28"/>
      <c r="I6" s="29"/>
      <c r="J6" s="28"/>
      <c r="K6" s="28"/>
      <c r="L6" s="28"/>
      <c r="M6" s="28"/>
      <c r="N6" s="28"/>
      <c r="O6" s="28"/>
    </row>
    <row r="7" spans="1:15" x14ac:dyDescent="0.25">
      <c r="A7" s="30" t="s">
        <v>13</v>
      </c>
      <c r="B7" s="30">
        <v>41016</v>
      </c>
    </row>
    <row r="8" spans="1:15" x14ac:dyDescent="0.25">
      <c r="A8" s="28" t="s">
        <v>14</v>
      </c>
      <c r="B8" s="28">
        <v>25</v>
      </c>
      <c r="C8" s="28" t="s">
        <v>495</v>
      </c>
      <c r="D8" s="28"/>
      <c r="E8" s="28"/>
      <c r="F8" s="28"/>
      <c r="G8" s="28"/>
      <c r="H8" s="28"/>
      <c r="I8" s="29"/>
      <c r="J8" s="28"/>
      <c r="K8" s="28" t="s">
        <v>34</v>
      </c>
      <c r="L8" s="28" t="s">
        <v>34</v>
      </c>
      <c r="M8" s="28"/>
      <c r="N8" s="28"/>
      <c r="O8" s="28"/>
    </row>
    <row r="9" spans="1:15" x14ac:dyDescent="0.25">
      <c r="A9" s="28" t="s">
        <v>15</v>
      </c>
      <c r="B9" s="28">
        <v>1</v>
      </c>
      <c r="C9" s="19" t="s">
        <v>387</v>
      </c>
      <c r="D9" s="28"/>
      <c r="E9" s="28"/>
      <c r="F9" s="28"/>
      <c r="G9" s="28"/>
      <c r="H9" s="28"/>
      <c r="I9" s="29"/>
      <c r="J9" s="19" t="s">
        <v>719</v>
      </c>
      <c r="K9" s="28"/>
      <c r="L9" s="28"/>
      <c r="M9" s="28"/>
      <c r="N9" s="28"/>
      <c r="O9" s="28"/>
    </row>
    <row r="10" spans="1:15" x14ac:dyDescent="0.25">
      <c r="A10" s="28" t="s">
        <v>16</v>
      </c>
      <c r="B10" s="87">
        <v>2000</v>
      </c>
      <c r="C10" s="31" t="s">
        <v>195</v>
      </c>
      <c r="D10" s="28"/>
      <c r="E10" s="28"/>
      <c r="F10" s="28"/>
      <c r="G10" s="28"/>
      <c r="H10" s="28"/>
      <c r="I10" s="29" t="s">
        <v>34</v>
      </c>
      <c r="J10" s="28" t="s">
        <v>34</v>
      </c>
      <c r="K10" s="28" t="s">
        <v>34</v>
      </c>
      <c r="L10" s="28" t="s">
        <v>34</v>
      </c>
      <c r="M10" s="28" t="s">
        <v>34</v>
      </c>
      <c r="N10" s="28" t="s">
        <v>34</v>
      </c>
      <c r="O10" s="28"/>
    </row>
    <row r="11" spans="1:15" x14ac:dyDescent="0.25">
      <c r="A11" s="28"/>
      <c r="B11" s="243">
        <v>200000000</v>
      </c>
      <c r="C11" s="31" t="s">
        <v>717</v>
      </c>
      <c r="D11" s="28"/>
      <c r="E11" s="28"/>
      <c r="F11" s="28"/>
      <c r="G11" s="28"/>
      <c r="H11" s="28"/>
      <c r="I11" s="29"/>
      <c r="J11" s="28"/>
      <c r="K11" s="28" t="s">
        <v>34</v>
      </c>
      <c r="L11" s="28"/>
      <c r="M11" s="28"/>
      <c r="N11" s="28"/>
      <c r="O11" s="28" t="s">
        <v>34</v>
      </c>
    </row>
    <row r="12" spans="1:15" x14ac:dyDescent="0.25">
      <c r="A12" s="28"/>
      <c r="B12" s="247">
        <v>95</v>
      </c>
      <c r="C12" s="31" t="s">
        <v>718</v>
      </c>
      <c r="D12" s="28"/>
      <c r="E12" s="28"/>
      <c r="F12" s="28"/>
      <c r="G12" s="28"/>
      <c r="H12" s="28"/>
      <c r="I12" s="29"/>
      <c r="J12" s="28"/>
      <c r="K12" s="28"/>
      <c r="L12" s="28"/>
      <c r="M12" s="28"/>
      <c r="N12" s="28"/>
      <c r="O12" s="28"/>
    </row>
    <row r="13" spans="1:15" x14ac:dyDescent="0.25">
      <c r="A13" s="28"/>
      <c r="B13" s="244">
        <v>6</v>
      </c>
      <c r="C13" s="28" t="s">
        <v>697</v>
      </c>
      <c r="D13" s="28"/>
      <c r="E13" s="28"/>
      <c r="F13" s="28"/>
      <c r="G13" s="28"/>
      <c r="H13" s="28"/>
      <c r="I13" s="250"/>
      <c r="J13" s="28"/>
      <c r="K13" s="28"/>
      <c r="L13" s="28"/>
      <c r="M13" s="28"/>
      <c r="N13" s="28"/>
      <c r="O13" s="28"/>
    </row>
    <row r="14" spans="1:15" x14ac:dyDescent="0.25">
      <c r="A14" s="28"/>
      <c r="B14" s="244">
        <v>100</v>
      </c>
      <c r="C14" s="87" t="s">
        <v>696</v>
      </c>
      <c r="D14" s="28"/>
      <c r="E14" s="28"/>
      <c r="F14" s="28"/>
      <c r="G14" s="28"/>
      <c r="H14" s="28"/>
      <c r="I14" s="250"/>
      <c r="J14" s="28"/>
      <c r="K14" s="28"/>
      <c r="L14" s="28"/>
      <c r="M14" s="28"/>
      <c r="N14" s="28"/>
      <c r="O14" s="28"/>
    </row>
    <row r="15" spans="1:15" x14ac:dyDescent="0.25">
      <c r="A15" s="28"/>
      <c r="B15" s="244">
        <v>0</v>
      </c>
      <c r="C15" s="87" t="s">
        <v>698</v>
      </c>
      <c r="D15" s="28"/>
      <c r="E15" s="28"/>
      <c r="F15" s="28"/>
      <c r="G15" s="28"/>
      <c r="H15" s="28"/>
      <c r="I15" s="250"/>
      <c r="J15" s="28"/>
      <c r="K15" s="28"/>
      <c r="L15" s="28"/>
      <c r="M15" s="28"/>
      <c r="N15" s="28"/>
      <c r="O15" s="28"/>
    </row>
    <row r="16" spans="1:15" x14ac:dyDescent="0.25">
      <c r="A16" s="28"/>
      <c r="B16" s="245">
        <f>(B12*B13/100*1000)/(B10+B12-B14+B15)*1000</f>
        <v>2857.1428571428573</v>
      </c>
      <c r="C16" s="28" t="s">
        <v>700</v>
      </c>
      <c r="D16" s="28"/>
      <c r="E16" s="28"/>
      <c r="F16" s="28"/>
      <c r="G16" s="28"/>
      <c r="H16" s="28"/>
      <c r="I16" s="250"/>
      <c r="J16" s="28"/>
      <c r="K16" s="28"/>
      <c r="L16" s="28"/>
      <c r="M16" s="28"/>
      <c r="N16" s="28"/>
      <c r="O16" s="28"/>
    </row>
    <row r="17" spans="1:19" ht="15.75" thickBot="1" x14ac:dyDescent="0.3">
      <c r="A17" s="28"/>
      <c r="B17" s="28" t="s">
        <v>647</v>
      </c>
      <c r="C17" s="28"/>
      <c r="D17" s="28"/>
      <c r="E17" s="28"/>
      <c r="F17" s="28"/>
      <c r="G17" s="28"/>
      <c r="H17" s="28"/>
      <c r="I17" s="29"/>
      <c r="J17" s="28"/>
      <c r="K17" s="28"/>
      <c r="L17" s="28"/>
      <c r="M17" s="28"/>
      <c r="N17" s="28"/>
      <c r="O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22.4</v>
      </c>
      <c r="C19" s="23">
        <v>9.27</v>
      </c>
      <c r="D19" s="23">
        <v>9.09</v>
      </c>
      <c r="E19" s="23">
        <v>0.49</v>
      </c>
      <c r="F19" s="23">
        <v>0.43</v>
      </c>
      <c r="G19" s="23">
        <v>650</v>
      </c>
      <c r="H19" s="91" t="s">
        <v>35</v>
      </c>
      <c r="I19" s="33">
        <v>7500000</v>
      </c>
      <c r="J19" s="125">
        <f>LOG(I19)-LOG(I19)</f>
        <v>0</v>
      </c>
      <c r="K19" s="33">
        <v>74000000</v>
      </c>
      <c r="L19" s="23" t="s">
        <v>26</v>
      </c>
      <c r="M19" s="34"/>
      <c r="N19" s="34"/>
      <c r="O19" s="35"/>
      <c r="P19" s="233">
        <f>B$16*A19</f>
        <v>0</v>
      </c>
      <c r="Q19" s="233">
        <f>6/LINEST(J19:J20,P19:P20,FALSE)</f>
        <v>29745.840154039048</v>
      </c>
      <c r="R19" s="233">
        <f>Q19/3000</f>
        <v>9.9152800513463486</v>
      </c>
      <c r="S19" s="233">
        <f>(J27/LINEST($J19:$J20,$P19:$P20,FALSE))/$B$16</f>
        <v>11.937997181821004</v>
      </c>
    </row>
    <row r="20" spans="1:19" ht="15.75" thickBot="1" x14ac:dyDescent="0.3">
      <c r="A20" s="32">
        <v>3</v>
      </c>
      <c r="B20" s="24">
        <v>22.4</v>
      </c>
      <c r="C20" s="24">
        <v>9.4700000000000006</v>
      </c>
      <c r="D20" s="24">
        <v>9.9</v>
      </c>
      <c r="E20" s="24">
        <v>2200</v>
      </c>
      <c r="F20" s="24">
        <v>0.35</v>
      </c>
      <c r="G20" s="24">
        <v>600</v>
      </c>
      <c r="H20" s="58" t="s">
        <v>35</v>
      </c>
      <c r="I20" s="33">
        <v>140000</v>
      </c>
      <c r="J20" s="125">
        <f>LOG(I$19)-LOG(I20)</f>
        <v>1.7289332277134619</v>
      </c>
      <c r="K20" s="33">
        <v>150000</v>
      </c>
      <c r="L20" s="24">
        <v>2.69</v>
      </c>
      <c r="M20" s="35"/>
      <c r="N20" s="35"/>
      <c r="O20" s="35"/>
      <c r="P20" s="233">
        <f t="shared" ref="P20:P25" si="0">B$16*A20</f>
        <v>8571.4285714285725</v>
      </c>
    </row>
    <row r="21" spans="1:19" ht="15.75" thickBot="1" x14ac:dyDescent="0.3">
      <c r="A21" s="32">
        <v>5</v>
      </c>
      <c r="B21" s="24">
        <v>22.4</v>
      </c>
      <c r="C21" s="24">
        <v>9.42</v>
      </c>
      <c r="D21" s="24">
        <v>9.89</v>
      </c>
      <c r="E21" s="24">
        <v>2800</v>
      </c>
      <c r="F21" s="24">
        <v>0.72</v>
      </c>
      <c r="G21" s="24">
        <v>600</v>
      </c>
      <c r="H21" s="58"/>
      <c r="I21" s="33">
        <v>0</v>
      </c>
      <c r="J21" s="24" t="s">
        <v>300</v>
      </c>
      <c r="K21" s="33" t="s">
        <v>301</v>
      </c>
      <c r="L21" s="24" t="s">
        <v>201</v>
      </c>
      <c r="M21" s="35"/>
      <c r="N21" s="35"/>
      <c r="O21" s="35"/>
      <c r="P21" s="233">
        <f t="shared" si="0"/>
        <v>14285.714285714286</v>
      </c>
    </row>
    <row r="22" spans="1:19" ht="15.75" thickBot="1" x14ac:dyDescent="0.3">
      <c r="A22" s="32">
        <v>10</v>
      </c>
      <c r="B22" s="24">
        <v>22.4</v>
      </c>
      <c r="C22" s="24">
        <v>9.36</v>
      </c>
      <c r="D22" s="24">
        <v>9.92</v>
      </c>
      <c r="E22" s="24">
        <v>2600</v>
      </c>
      <c r="F22" s="24">
        <v>1.07</v>
      </c>
      <c r="G22" s="24">
        <v>600</v>
      </c>
      <c r="H22" s="58"/>
      <c r="I22" s="33">
        <v>0</v>
      </c>
      <c r="J22" s="24" t="s">
        <v>300</v>
      </c>
      <c r="K22" s="33">
        <v>0</v>
      </c>
      <c r="L22" s="24" t="s">
        <v>201</v>
      </c>
      <c r="M22" s="35"/>
      <c r="N22" s="35"/>
      <c r="O22" s="35"/>
      <c r="P22" s="233">
        <f t="shared" si="0"/>
        <v>28571.428571428572</v>
      </c>
    </row>
    <row r="23" spans="1:19" ht="15.75" thickBot="1" x14ac:dyDescent="0.3">
      <c r="A23" s="32">
        <v>15</v>
      </c>
      <c r="B23" s="24">
        <v>22.4</v>
      </c>
      <c r="C23" s="24">
        <v>9.33</v>
      </c>
      <c r="D23" s="24">
        <v>9.9</v>
      </c>
      <c r="E23" s="24">
        <v>2500</v>
      </c>
      <c r="F23" s="24">
        <v>0.38</v>
      </c>
      <c r="G23" s="24">
        <v>650</v>
      </c>
      <c r="H23" s="58"/>
      <c r="I23" s="33">
        <v>0</v>
      </c>
      <c r="J23" s="24" t="s">
        <v>300</v>
      </c>
      <c r="K23" s="33">
        <v>0</v>
      </c>
      <c r="L23" s="24" t="s">
        <v>201</v>
      </c>
      <c r="M23" s="35"/>
      <c r="N23" s="35"/>
      <c r="O23" s="35"/>
      <c r="P23" s="233">
        <f t="shared" si="0"/>
        <v>42857.142857142862</v>
      </c>
    </row>
    <row r="24" spans="1:19" ht="15.75" thickBot="1" x14ac:dyDescent="0.3">
      <c r="A24" s="32">
        <v>30</v>
      </c>
      <c r="B24" s="24">
        <v>22.5</v>
      </c>
      <c r="C24" s="24">
        <v>9.2100000000000009</v>
      </c>
      <c r="D24" s="24">
        <v>9.8699999999999992</v>
      </c>
      <c r="E24" s="24">
        <v>2500</v>
      </c>
      <c r="F24" s="24">
        <v>0.61</v>
      </c>
      <c r="G24" s="24">
        <v>600</v>
      </c>
      <c r="H24" s="58"/>
      <c r="I24" s="33">
        <v>0</v>
      </c>
      <c r="J24" s="24" t="s">
        <v>300</v>
      </c>
      <c r="K24" s="33">
        <v>0</v>
      </c>
      <c r="L24" s="24" t="s">
        <v>201</v>
      </c>
      <c r="M24" s="36"/>
      <c r="N24" s="36"/>
      <c r="O24" s="35"/>
      <c r="P24" s="233">
        <f t="shared" si="0"/>
        <v>85714.285714285725</v>
      </c>
    </row>
    <row r="25" spans="1:19" ht="15.75" thickBot="1" x14ac:dyDescent="0.3">
      <c r="A25" s="32">
        <v>60</v>
      </c>
      <c r="B25" s="24">
        <v>23.1</v>
      </c>
      <c r="C25" s="24">
        <v>9.17</v>
      </c>
      <c r="D25" s="24">
        <v>9.89</v>
      </c>
      <c r="E25" s="24">
        <v>2500</v>
      </c>
      <c r="F25" s="58">
        <v>0.65</v>
      </c>
      <c r="G25" s="24">
        <v>600</v>
      </c>
      <c r="H25" s="58">
        <v>3470</v>
      </c>
      <c r="I25" s="33">
        <v>0</v>
      </c>
      <c r="J25" s="24" t="s">
        <v>300</v>
      </c>
      <c r="K25" s="33">
        <v>0</v>
      </c>
      <c r="L25" s="24" t="s">
        <v>201</v>
      </c>
      <c r="M25" s="36">
        <v>414</v>
      </c>
      <c r="N25" s="36">
        <v>14642</v>
      </c>
      <c r="O25" s="89">
        <v>6300</v>
      </c>
      <c r="P25" s="233">
        <f t="shared" si="0"/>
        <v>171428.57142857145</v>
      </c>
    </row>
    <row r="26" spans="1:19" ht="15.75" thickBot="1" x14ac:dyDescent="0.3">
      <c r="A26" s="86" t="s">
        <v>242</v>
      </c>
      <c r="B26" s="36">
        <v>23.1</v>
      </c>
      <c r="C26" s="36">
        <v>9.17</v>
      </c>
      <c r="D26" s="36">
        <v>9.8699999999999992</v>
      </c>
      <c r="E26" s="36">
        <v>2700</v>
      </c>
      <c r="F26" s="36">
        <v>1.2</v>
      </c>
      <c r="G26" s="36">
        <v>600</v>
      </c>
      <c r="H26" s="60" t="s">
        <v>35</v>
      </c>
      <c r="I26" s="33">
        <v>0</v>
      </c>
      <c r="J26" s="24" t="s">
        <v>299</v>
      </c>
      <c r="K26" s="33">
        <v>0</v>
      </c>
      <c r="L26" s="24" t="s">
        <v>201</v>
      </c>
      <c r="M26" s="36">
        <v>424</v>
      </c>
      <c r="N26" s="36">
        <v>14700</v>
      </c>
      <c r="O26" s="35"/>
    </row>
    <row r="27" spans="1:19" x14ac:dyDescent="0.25">
      <c r="B27">
        <f>AVERAGE(B20)</f>
        <v>22.4</v>
      </c>
      <c r="C27">
        <f>AVERAGE(C20)</f>
        <v>9.4700000000000006</v>
      </c>
      <c r="J27">
        <v>6.88</v>
      </c>
      <c r="N27" s="28"/>
      <c r="O27" s="28"/>
    </row>
    <row r="28" spans="1:19" x14ac:dyDescent="0.25">
      <c r="A28" s="28" t="s">
        <v>140</v>
      </c>
      <c r="B28" s="28"/>
      <c r="C28" s="28"/>
      <c r="D28" s="28"/>
      <c r="E28" s="28"/>
      <c r="F28" s="28"/>
      <c r="G28" s="28"/>
      <c r="H28" s="28"/>
      <c r="I28" s="29"/>
      <c r="J28" s="28"/>
      <c r="K28" s="28"/>
      <c r="L28" s="28"/>
      <c r="M28" s="28"/>
      <c r="N28" s="28"/>
      <c r="O28" s="28"/>
    </row>
    <row r="29" spans="1:19" x14ac:dyDescent="0.25">
      <c r="A29" s="28"/>
      <c r="B29" s="28" t="s">
        <v>141</v>
      </c>
      <c r="C29" s="28"/>
      <c r="D29" s="28"/>
      <c r="E29" s="28"/>
      <c r="F29" s="28"/>
      <c r="G29" s="28"/>
      <c r="H29" s="28"/>
      <c r="I29" s="29"/>
      <c r="J29" s="28"/>
      <c r="K29" s="28"/>
      <c r="L29" s="28" t="s">
        <v>34</v>
      </c>
      <c r="M29" s="28" t="s">
        <v>34</v>
      </c>
      <c r="N29" s="28" t="s">
        <v>34</v>
      </c>
      <c r="O29" s="28"/>
    </row>
    <row r="30" spans="1:19" x14ac:dyDescent="0.25">
      <c r="A30" s="28" t="s">
        <v>272</v>
      </c>
      <c r="B30" s="28"/>
      <c r="C30" s="28"/>
      <c r="D30" s="28"/>
      <c r="E30" s="28"/>
      <c r="F30" s="28"/>
      <c r="G30" s="28"/>
      <c r="H30" s="28"/>
      <c r="I30" s="29"/>
      <c r="J30" s="28"/>
      <c r="K30" s="28"/>
      <c r="L30" s="28" t="s">
        <v>34</v>
      </c>
      <c r="M30" s="28"/>
      <c r="N30" s="28"/>
      <c r="O30" s="28"/>
    </row>
    <row r="31" spans="1:19" x14ac:dyDescent="0.25">
      <c r="A31" s="59" t="s">
        <v>338</v>
      </c>
      <c r="F31" s="28"/>
      <c r="G31" s="28"/>
      <c r="H31" s="28"/>
      <c r="I31" s="29"/>
      <c r="J31" s="28"/>
      <c r="K31" s="28" t="s">
        <v>34</v>
      </c>
      <c r="L31" s="28" t="s">
        <v>34</v>
      </c>
      <c r="M31" s="28" t="s">
        <v>34</v>
      </c>
      <c r="N31" s="28"/>
      <c r="O31" s="28"/>
    </row>
    <row r="32" spans="1:19" x14ac:dyDescent="0.25">
      <c r="A32" s="59" t="s">
        <v>347</v>
      </c>
      <c r="B32" s="72"/>
      <c r="C32" s="72"/>
      <c r="D32" s="72"/>
      <c r="E32" s="72"/>
      <c r="F32" s="87"/>
      <c r="G32" s="87"/>
      <c r="H32" s="87"/>
      <c r="I32" s="88"/>
      <c r="J32" s="87"/>
      <c r="K32" s="28"/>
      <c r="L32" s="28"/>
      <c r="M32" s="28"/>
      <c r="N32" s="28"/>
      <c r="O32" s="28"/>
    </row>
    <row r="33" spans="1:15" x14ac:dyDescent="0.25">
      <c r="M33" s="28" t="s">
        <v>34</v>
      </c>
      <c r="N33" s="28"/>
      <c r="O33" s="28"/>
    </row>
    <row r="34" spans="1:15" x14ac:dyDescent="0.25">
      <c r="A34" s="19" t="s">
        <v>28</v>
      </c>
      <c r="B34" s="28"/>
      <c r="C34" s="264" t="s">
        <v>740</v>
      </c>
      <c r="D34" s="264"/>
      <c r="E34" s="261"/>
      <c r="F34" s="261"/>
      <c r="G34" s="28"/>
      <c r="H34" s="28"/>
      <c r="I34" s="29"/>
      <c r="J34" s="28"/>
      <c r="K34" s="28" t="s">
        <v>34</v>
      </c>
      <c r="L34" s="28" t="s">
        <v>34</v>
      </c>
      <c r="M34" s="28" t="s">
        <v>34</v>
      </c>
      <c r="N34" s="28"/>
      <c r="O34" s="28"/>
    </row>
    <row r="35" spans="1:15" x14ac:dyDescent="0.25">
      <c r="A35" s="28"/>
      <c r="B35" s="22"/>
      <c r="C35" s="264"/>
      <c r="D35" s="264"/>
      <c r="E35" s="261"/>
      <c r="F35" s="261"/>
      <c r="G35" s="28"/>
      <c r="H35" s="28"/>
      <c r="I35" s="29"/>
      <c r="J35" s="28"/>
      <c r="K35" s="28"/>
      <c r="L35" s="28" t="s">
        <v>34</v>
      </c>
      <c r="M35" s="28"/>
      <c r="N35" s="28"/>
      <c r="O35" s="28"/>
    </row>
    <row r="36" spans="1:15" x14ac:dyDescent="0.25">
      <c r="A36" s="28"/>
      <c r="C36" s="263" t="s">
        <v>146</v>
      </c>
      <c r="D36" s="261"/>
      <c r="E36" s="264"/>
      <c r="F36" s="264"/>
      <c r="G36" s="41"/>
      <c r="H36" s="41"/>
      <c r="I36" s="41"/>
      <c r="J36" s="41"/>
      <c r="K36" s="41"/>
      <c r="L36" s="41" t="s">
        <v>34</v>
      </c>
      <c r="M36" s="28"/>
      <c r="N36" s="28"/>
      <c r="O36" s="28"/>
    </row>
    <row r="37" spans="1:15" x14ac:dyDescent="0.25">
      <c r="A37" s="28"/>
      <c r="C37" s="264" t="s">
        <v>333</v>
      </c>
      <c r="D37" s="264"/>
      <c r="E37" s="264"/>
      <c r="F37" s="264"/>
      <c r="G37" s="41"/>
      <c r="H37" s="41"/>
      <c r="I37" s="41"/>
      <c r="J37" s="41"/>
      <c r="K37" s="41"/>
      <c r="L37" s="41"/>
      <c r="M37" s="28" t="s">
        <v>34</v>
      </c>
      <c r="N37" s="28"/>
      <c r="O37" s="28"/>
    </row>
    <row r="38" spans="1:15" x14ac:dyDescent="0.25">
      <c r="A38" s="28"/>
      <c r="C38" s="264" t="s">
        <v>346</v>
      </c>
      <c r="D38" s="264"/>
      <c r="E38" s="261"/>
      <c r="F38" s="261"/>
      <c r="G38" s="28"/>
      <c r="H38" s="28"/>
      <c r="I38" s="29"/>
      <c r="J38" s="28"/>
      <c r="K38" s="28"/>
      <c r="L38" s="28"/>
      <c r="M38" s="28"/>
      <c r="N38" s="28"/>
      <c r="O38" s="28"/>
    </row>
    <row r="39" spans="1:15" x14ac:dyDescent="0.25">
      <c r="A39" s="28"/>
      <c r="C39" s="264" t="s">
        <v>334</v>
      </c>
      <c r="D39" s="262"/>
      <c r="E39" s="264"/>
      <c r="F39" s="264"/>
      <c r="G39" s="41"/>
      <c r="H39" s="41"/>
      <c r="I39" s="41"/>
      <c r="J39" s="41"/>
      <c r="K39" s="41"/>
      <c r="L39" s="41"/>
      <c r="M39" s="28"/>
      <c r="N39" s="28"/>
      <c r="O39" s="28"/>
    </row>
    <row r="40" spans="1:15" x14ac:dyDescent="0.25">
      <c r="A40" s="28"/>
      <c r="C40" s="281" t="s">
        <v>348</v>
      </c>
      <c r="D40" s="282"/>
      <c r="E40" s="264"/>
      <c r="F40" s="264"/>
      <c r="G40" s="41"/>
      <c r="H40" s="41"/>
      <c r="I40" s="41"/>
      <c r="J40" s="41"/>
      <c r="K40" s="41"/>
      <c r="L40" s="41"/>
      <c r="M40" s="28"/>
      <c r="N40" s="28"/>
      <c r="O40" s="28"/>
    </row>
    <row r="41" spans="1:15" x14ac:dyDescent="0.25">
      <c r="A41" s="28"/>
      <c r="C41" s="281" t="s">
        <v>349</v>
      </c>
      <c r="D41" s="282"/>
      <c r="E41" s="262"/>
      <c r="F41" s="262"/>
      <c r="N41" s="28"/>
      <c r="O41" s="28"/>
    </row>
    <row r="42" spans="1:15" x14ac:dyDescent="0.25">
      <c r="A42" s="28"/>
      <c r="C42" s="268" t="s">
        <v>36</v>
      </c>
      <c r="D42" s="261"/>
      <c r="E42" s="282"/>
      <c r="F42" s="282"/>
      <c r="G42" s="72"/>
      <c r="H42" s="72"/>
      <c r="I42" s="72"/>
      <c r="J42" s="72"/>
      <c r="K42" s="72"/>
      <c r="N42" s="28"/>
      <c r="O42" s="28"/>
    </row>
    <row r="43" spans="1:15" x14ac:dyDescent="0.25">
      <c r="A43" s="28"/>
      <c r="C43" s="263" t="s">
        <v>133</v>
      </c>
      <c r="D43" s="262"/>
      <c r="E43" s="282"/>
      <c r="F43" s="282"/>
      <c r="G43" s="72"/>
      <c r="H43" s="72"/>
      <c r="I43" s="72"/>
      <c r="J43" s="72"/>
      <c r="K43" s="72"/>
      <c r="N43" s="28"/>
      <c r="O43" s="28" t="s">
        <v>34</v>
      </c>
    </row>
    <row r="44" spans="1:15" x14ac:dyDescent="0.25">
      <c r="A44" s="28"/>
      <c r="C44" s="263" t="s">
        <v>305</v>
      </c>
      <c r="D44" s="262"/>
      <c r="E44" s="261"/>
      <c r="F44" s="261"/>
      <c r="G44" s="28"/>
      <c r="H44" s="28"/>
      <c r="I44" s="29"/>
      <c r="J44" s="28"/>
      <c r="K44" s="28"/>
      <c r="M44" s="28"/>
      <c r="N44" s="28"/>
      <c r="O44" s="28"/>
    </row>
    <row r="45" spans="1:15" x14ac:dyDescent="0.25">
      <c r="A45" s="28"/>
      <c r="C45" s="262"/>
      <c r="D45" s="262"/>
      <c r="E45" s="262"/>
      <c r="F45" s="262"/>
      <c r="M45" s="28"/>
      <c r="N45" s="28"/>
      <c r="O45" s="28"/>
    </row>
    <row r="46" spans="1:15" x14ac:dyDescent="0.25">
      <c r="C46" s="264" t="s">
        <v>741</v>
      </c>
      <c r="D46" s="262"/>
      <c r="E46" s="262"/>
      <c r="F46" s="262"/>
    </row>
    <row r="47" spans="1:15" x14ac:dyDescent="0.25">
      <c r="C47" s="263" t="s">
        <v>307</v>
      </c>
      <c r="D47" s="262"/>
      <c r="E47" s="262"/>
      <c r="F47" s="262"/>
      <c r="L47" s="28"/>
    </row>
    <row r="48" spans="1:15" x14ac:dyDescent="0.25">
      <c r="C48" s="263" t="s">
        <v>742</v>
      </c>
      <c r="D48" s="261"/>
      <c r="E48" s="262"/>
      <c r="F48" s="262"/>
      <c r="G48" s="64"/>
      <c r="H48" s="64"/>
      <c r="I48" s="64"/>
      <c r="J48" s="64"/>
      <c r="K48" s="64"/>
      <c r="L48" s="65"/>
      <c r="O48" t="s">
        <v>34</v>
      </c>
    </row>
    <row r="49" spans="3:14" x14ac:dyDescent="0.25">
      <c r="C49" s="263"/>
      <c r="D49" s="262"/>
      <c r="E49" s="262"/>
      <c r="F49" s="262"/>
      <c r="N49" t="s">
        <v>34</v>
      </c>
    </row>
    <row r="50" spans="3:14" x14ac:dyDescent="0.25">
      <c r="C50" s="264" t="s">
        <v>734</v>
      </c>
      <c r="D50" s="264"/>
      <c r="E50" s="261"/>
      <c r="F50" s="261"/>
      <c r="G50" s="28"/>
      <c r="H50" s="28"/>
      <c r="I50" s="29"/>
      <c r="J50" s="28"/>
    </row>
    <row r="51" spans="3:14" x14ac:dyDescent="0.25">
      <c r="C51" s="264" t="s">
        <v>155</v>
      </c>
      <c r="D51" s="264"/>
      <c r="E51" s="262"/>
      <c r="F51" s="262"/>
    </row>
    <row r="52" spans="3:14" x14ac:dyDescent="0.25">
      <c r="C52" s="263" t="s">
        <v>157</v>
      </c>
      <c r="D52" s="261"/>
      <c r="E52" s="264"/>
      <c r="F52" s="264"/>
      <c r="G52" s="41"/>
      <c r="H52" s="41"/>
      <c r="I52" s="41"/>
      <c r="J52" s="41"/>
      <c r="K52" s="41"/>
      <c r="N52" t="s">
        <v>34</v>
      </c>
    </row>
    <row r="53" spans="3:14" x14ac:dyDescent="0.25">
      <c r="E53" s="41"/>
      <c r="F53" s="41"/>
      <c r="G53" s="41"/>
      <c r="H53" s="41"/>
      <c r="I53" s="41"/>
      <c r="J53" s="41"/>
      <c r="K53" s="41"/>
    </row>
    <row r="54" spans="3:14" x14ac:dyDescent="0.25">
      <c r="D54" s="28"/>
      <c r="E54" s="28"/>
      <c r="F54" s="28"/>
      <c r="G54" s="28"/>
      <c r="H54" s="29"/>
      <c r="I54" s="28"/>
      <c r="J54" s="41"/>
      <c r="K54" s="28"/>
    </row>
  </sheetData>
  <hyperlinks>
    <hyperlink ref="A1" location="Sheet3!A1" display="A1"/>
  </hyperlinks>
  <pageMargins left="0.7" right="0.7" top="0.75" bottom="0.75" header="0.3" footer="0.3"/>
  <pageSetup scale="61" orientation="landscape" verticalDpi="597" r:id="rId1"/>
  <drawing r:id="rId2"/>
  <legacyDrawing r:id="rId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pageSetUpPr fitToPage="1"/>
  </sheetPr>
  <dimension ref="A6:S57"/>
  <sheetViews>
    <sheetView zoomScale="90" zoomScaleNormal="90" workbookViewId="0"/>
  </sheetViews>
  <sheetFormatPr defaultRowHeight="15" x14ac:dyDescent="0.25"/>
  <cols>
    <col min="2" max="2" width="10.5703125"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41029</v>
      </c>
    </row>
    <row r="8" spans="1:15" x14ac:dyDescent="0.25">
      <c r="A8" s="28" t="s">
        <v>14</v>
      </c>
      <c r="B8" s="28">
        <v>26</v>
      </c>
      <c r="C8" s="28" t="s">
        <v>473</v>
      </c>
      <c r="D8" s="28"/>
      <c r="E8" s="28"/>
      <c r="F8" s="28"/>
      <c r="G8" s="28"/>
      <c r="H8" s="28"/>
      <c r="I8" s="29"/>
      <c r="J8" s="28"/>
      <c r="K8" s="28" t="s">
        <v>34</v>
      </c>
      <c r="L8" s="28" t="s">
        <v>34</v>
      </c>
      <c r="M8" s="28"/>
      <c r="N8" s="28"/>
    </row>
    <row r="9" spans="1:15" x14ac:dyDescent="0.25">
      <c r="A9" s="28" t="s">
        <v>15</v>
      </c>
      <c r="B9" s="28">
        <v>1</v>
      </c>
      <c r="C9" s="19" t="s">
        <v>387</v>
      </c>
      <c r="D9" s="28"/>
      <c r="E9" s="28"/>
      <c r="F9" s="28"/>
      <c r="G9" s="28"/>
      <c r="H9" s="28"/>
      <c r="I9" s="29"/>
      <c r="J9" s="19" t="s">
        <v>719</v>
      </c>
      <c r="K9" s="28"/>
      <c r="L9" s="28"/>
      <c r="M9" s="28"/>
      <c r="N9" s="28"/>
    </row>
    <row r="10" spans="1:15" x14ac:dyDescent="0.25">
      <c r="A10" s="28" t="s">
        <v>16</v>
      </c>
      <c r="B10" s="87">
        <v>2000</v>
      </c>
      <c r="C10" s="31" t="s">
        <v>195</v>
      </c>
      <c r="D10" s="28"/>
      <c r="E10" s="28"/>
      <c r="F10" s="28"/>
      <c r="G10" s="28"/>
      <c r="H10" s="28"/>
      <c r="I10" s="29" t="s">
        <v>34</v>
      </c>
      <c r="J10" s="28" t="s">
        <v>34</v>
      </c>
      <c r="K10" s="28" t="s">
        <v>34</v>
      </c>
      <c r="L10" s="28" t="s">
        <v>34</v>
      </c>
      <c r="M10" s="28" t="s">
        <v>34</v>
      </c>
      <c r="N10" s="28" t="s">
        <v>34</v>
      </c>
    </row>
    <row r="11" spans="1:15" x14ac:dyDescent="0.25">
      <c r="A11" s="28"/>
      <c r="B11" s="243">
        <v>200000000</v>
      </c>
      <c r="C11" s="31" t="s">
        <v>58</v>
      </c>
      <c r="D11" s="28"/>
      <c r="E11" s="28"/>
      <c r="F11" s="28"/>
      <c r="G11" s="28"/>
      <c r="H11" s="28"/>
      <c r="I11" s="29"/>
      <c r="J11" s="28"/>
      <c r="K11" s="28" t="s">
        <v>34</v>
      </c>
      <c r="L11" s="28"/>
      <c r="M11" s="28"/>
      <c r="N11" s="28"/>
    </row>
    <row r="12" spans="1:15" x14ac:dyDescent="0.25">
      <c r="A12" s="28"/>
      <c r="B12">
        <v>95</v>
      </c>
      <c r="C12" s="31" t="s">
        <v>44</v>
      </c>
      <c r="D12" s="28"/>
      <c r="E12" s="28"/>
      <c r="F12" s="28"/>
      <c r="G12" s="28"/>
      <c r="H12" s="28"/>
      <c r="I12" s="29"/>
      <c r="J12" s="28"/>
      <c r="K12" s="28"/>
      <c r="L12" s="28"/>
      <c r="M12" s="28"/>
      <c r="N12" s="28"/>
    </row>
    <row r="13" spans="1:15" x14ac:dyDescent="0.25">
      <c r="A13" s="28"/>
      <c r="B13" s="244">
        <v>6</v>
      </c>
      <c r="C13" s="28" t="s">
        <v>697</v>
      </c>
      <c r="D13" s="28"/>
      <c r="E13" s="28"/>
      <c r="F13" s="28"/>
      <c r="G13" s="28"/>
      <c r="H13" s="28"/>
      <c r="I13" s="250"/>
      <c r="J13" s="28"/>
      <c r="K13" s="28"/>
      <c r="L13" s="28"/>
      <c r="M13" s="28"/>
      <c r="N13" s="28"/>
    </row>
    <row r="14" spans="1:15" x14ac:dyDescent="0.25">
      <c r="A14" s="28"/>
      <c r="B14" s="244">
        <v>100</v>
      </c>
      <c r="C14" s="87" t="s">
        <v>696</v>
      </c>
      <c r="D14" s="28"/>
      <c r="E14" s="28"/>
      <c r="F14" s="28"/>
      <c r="G14" s="28"/>
      <c r="H14" s="28"/>
      <c r="I14" s="250"/>
      <c r="J14" s="28"/>
      <c r="K14" s="28"/>
      <c r="L14" s="28"/>
      <c r="M14" s="28"/>
      <c r="N14" s="28"/>
    </row>
    <row r="15" spans="1:15" x14ac:dyDescent="0.25">
      <c r="A15" s="28"/>
      <c r="B15" s="244">
        <v>0</v>
      </c>
      <c r="C15" s="87" t="s">
        <v>698</v>
      </c>
      <c r="D15" s="28"/>
      <c r="E15" s="28"/>
      <c r="F15" s="28"/>
      <c r="G15" s="28"/>
      <c r="H15" s="28"/>
      <c r="I15" s="250"/>
      <c r="J15" s="28"/>
      <c r="K15" s="28"/>
      <c r="L15" s="28"/>
      <c r="M15" s="28"/>
      <c r="N15" s="28"/>
    </row>
    <row r="16" spans="1:15" x14ac:dyDescent="0.25">
      <c r="A16" s="28"/>
      <c r="B16" s="245">
        <f>(B12*B13/100*1000)/(B10+B12-B14+B15)*1000</f>
        <v>2857.1428571428573</v>
      </c>
      <c r="C16" s="28" t="s">
        <v>700</v>
      </c>
      <c r="D16" s="28"/>
      <c r="E16" s="28"/>
      <c r="F16" s="28"/>
      <c r="G16" s="28"/>
      <c r="H16" s="28"/>
      <c r="I16" s="250"/>
      <c r="J16" s="28"/>
      <c r="K16" s="28"/>
      <c r="L16" s="28"/>
      <c r="M16" s="28"/>
      <c r="N16" s="28"/>
    </row>
    <row r="17" spans="1:19" ht="15.75" thickBot="1" x14ac:dyDescent="0.3">
      <c r="A17" s="28"/>
      <c r="B17" s="28" t="s">
        <v>647</v>
      </c>
      <c r="C17" s="28"/>
      <c r="D17" s="28"/>
      <c r="E17" s="28"/>
      <c r="F17" s="28"/>
      <c r="G17" s="28"/>
      <c r="H17" s="28"/>
      <c r="I17" s="29"/>
      <c r="J17" s="28"/>
      <c r="K17" s="28"/>
      <c r="L17" s="28"/>
      <c r="M17" s="28"/>
      <c r="N17" s="28"/>
    </row>
    <row r="18" spans="1:19" ht="90" thickBot="1" x14ac:dyDescent="0.3">
      <c r="A18" s="10" t="s">
        <v>29</v>
      </c>
      <c r="B18" s="11" t="s">
        <v>17</v>
      </c>
      <c r="C18" s="11" t="s">
        <v>30</v>
      </c>
      <c r="D18" s="11" t="s">
        <v>31</v>
      </c>
      <c r="E18" s="11" t="s">
        <v>32</v>
      </c>
      <c r="F18" s="11" t="s">
        <v>350</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21</v>
      </c>
      <c r="C19" s="23">
        <v>9.1999999999999993</v>
      </c>
      <c r="D19" s="23">
        <v>9.09</v>
      </c>
      <c r="E19" s="23">
        <v>0.6</v>
      </c>
      <c r="F19" s="91">
        <v>1.6</v>
      </c>
      <c r="G19" s="23">
        <v>750</v>
      </c>
      <c r="H19" s="23">
        <v>3530</v>
      </c>
      <c r="I19" s="33">
        <v>11000000</v>
      </c>
      <c r="J19" s="125">
        <f>LOG(I$19)-LOG(I19)</f>
        <v>0</v>
      </c>
      <c r="K19" s="33">
        <v>74000000</v>
      </c>
      <c r="L19" s="23" t="s">
        <v>26</v>
      </c>
      <c r="M19" s="34"/>
      <c r="N19" s="34"/>
      <c r="O19" s="35"/>
      <c r="P19" s="233">
        <f>B$16*A19</f>
        <v>0</v>
      </c>
      <c r="Q19" s="233">
        <f>6/LINEST(J19:J23,P19:P23,FALSE)</f>
        <v>40769.996316153665</v>
      </c>
      <c r="R19" s="233">
        <f>Q19/3000</f>
        <v>13.589998772051223</v>
      </c>
      <c r="S19" s="233">
        <f>(J27/LINEST($J19:$J23,$P19:$P23,FALSE))/$B$16</f>
        <v>16.742878487167104</v>
      </c>
    </row>
    <row r="20" spans="1:19" ht="15.75" thickBot="1" x14ac:dyDescent="0.3">
      <c r="A20" s="32">
        <v>3</v>
      </c>
      <c r="B20" s="24">
        <v>20.9</v>
      </c>
      <c r="C20" s="24">
        <v>9.23</v>
      </c>
      <c r="D20" s="24">
        <v>9.89</v>
      </c>
      <c r="E20" s="24">
        <v>2300</v>
      </c>
      <c r="F20" s="58">
        <v>2.9</v>
      </c>
      <c r="G20" s="24">
        <v>700</v>
      </c>
      <c r="H20" s="24">
        <v>3720</v>
      </c>
      <c r="I20" s="33">
        <v>200000</v>
      </c>
      <c r="J20" s="125">
        <f>LOG(I$19)-LOG(I20)</f>
        <v>1.7403626894942441</v>
      </c>
      <c r="K20" s="33">
        <v>200000</v>
      </c>
      <c r="L20" s="24">
        <v>2.57</v>
      </c>
      <c r="M20" s="35"/>
      <c r="N20" s="35"/>
      <c r="O20" s="35"/>
      <c r="P20" s="233">
        <f t="shared" ref="P20:P25" si="0">B$16*A20</f>
        <v>8571.4285714285725</v>
      </c>
    </row>
    <row r="21" spans="1:19" ht="15.75" thickBot="1" x14ac:dyDescent="0.3">
      <c r="A21" s="32">
        <v>5</v>
      </c>
      <c r="B21" s="24">
        <v>20.9</v>
      </c>
      <c r="C21" s="24">
        <v>9.2200000000000006</v>
      </c>
      <c r="D21" s="24">
        <v>9.89</v>
      </c>
      <c r="E21" s="24">
        <v>2500</v>
      </c>
      <c r="F21" s="58">
        <v>1.5</v>
      </c>
      <c r="G21" s="24">
        <v>700</v>
      </c>
      <c r="H21" s="24"/>
      <c r="I21" s="33">
        <v>1500</v>
      </c>
      <c r="J21" s="125">
        <f>LOG(I$19)-LOG(I21)</f>
        <v>3.865301426102544</v>
      </c>
      <c r="K21" s="33" t="s">
        <v>301</v>
      </c>
      <c r="L21" s="24" t="s">
        <v>201</v>
      </c>
      <c r="M21" s="35"/>
      <c r="N21" s="35"/>
      <c r="O21" s="35"/>
      <c r="P21" s="233">
        <f t="shared" si="0"/>
        <v>14285.714285714286</v>
      </c>
    </row>
    <row r="22" spans="1:19" ht="15.75" thickBot="1" x14ac:dyDescent="0.3">
      <c r="A22" s="32">
        <v>10</v>
      </c>
      <c r="B22" s="24">
        <v>21</v>
      </c>
      <c r="C22" s="24">
        <v>9.2200000000000006</v>
      </c>
      <c r="D22" s="24">
        <v>9.9</v>
      </c>
      <c r="E22" s="24">
        <v>2600</v>
      </c>
      <c r="F22" s="58">
        <v>1.6</v>
      </c>
      <c r="G22" s="24">
        <v>700</v>
      </c>
      <c r="H22" s="24"/>
      <c r="I22" s="33">
        <v>50</v>
      </c>
      <c r="J22" s="125">
        <f>LOG(I$19)-LOG(I22)</f>
        <v>5.3424226808222066</v>
      </c>
      <c r="K22" s="33">
        <v>0</v>
      </c>
      <c r="L22" s="24" t="s">
        <v>201</v>
      </c>
      <c r="M22" s="35"/>
      <c r="N22" s="35"/>
      <c r="O22" s="35"/>
      <c r="P22" s="233">
        <f t="shared" si="0"/>
        <v>28571.428571428572</v>
      </c>
    </row>
    <row r="23" spans="1:19" ht="15.75" thickBot="1" x14ac:dyDescent="0.3">
      <c r="A23" s="32">
        <v>15</v>
      </c>
      <c r="B23" s="24">
        <v>21.1</v>
      </c>
      <c r="C23" s="24">
        <v>9.2100000000000009</v>
      </c>
      <c r="D23" s="24">
        <v>9.9</v>
      </c>
      <c r="E23" s="24">
        <v>2500</v>
      </c>
      <c r="F23" s="58">
        <v>2.6</v>
      </c>
      <c r="G23" s="24">
        <v>700</v>
      </c>
      <c r="H23" s="24"/>
      <c r="I23" s="33">
        <v>150</v>
      </c>
      <c r="J23" s="125">
        <f>LOG(I$19)-LOG(I23)</f>
        <v>4.865301426102544</v>
      </c>
      <c r="K23" s="33">
        <v>0</v>
      </c>
      <c r="L23" s="24" t="s">
        <v>201</v>
      </c>
      <c r="M23" s="35"/>
      <c r="N23" s="35"/>
      <c r="O23" s="35"/>
      <c r="P23" s="233">
        <f t="shared" si="0"/>
        <v>42857.142857142862</v>
      </c>
    </row>
    <row r="24" spans="1:19" ht="15.75" thickBot="1" x14ac:dyDescent="0.3">
      <c r="A24" s="32">
        <v>30</v>
      </c>
      <c r="B24" s="24">
        <v>21.5</v>
      </c>
      <c r="C24" s="24">
        <v>9.19</v>
      </c>
      <c r="D24" s="24">
        <v>9.89</v>
      </c>
      <c r="E24" s="24">
        <v>2500</v>
      </c>
      <c r="F24" s="58">
        <v>1.9</v>
      </c>
      <c r="G24" s="24">
        <v>700</v>
      </c>
      <c r="H24" s="24"/>
      <c r="I24" s="33">
        <v>0</v>
      </c>
      <c r="J24" s="24" t="s">
        <v>308</v>
      </c>
      <c r="K24" s="33">
        <v>0</v>
      </c>
      <c r="L24" s="24" t="s">
        <v>201</v>
      </c>
      <c r="M24" s="36"/>
      <c r="N24" s="36"/>
      <c r="O24" s="35"/>
      <c r="P24" s="233">
        <f t="shared" si="0"/>
        <v>85714.285714285725</v>
      </c>
    </row>
    <row r="25" spans="1:19" ht="15.75" thickBot="1" x14ac:dyDescent="0.3">
      <c r="A25" s="32">
        <v>60</v>
      </c>
      <c r="B25" s="24">
        <v>22.4</v>
      </c>
      <c r="C25" s="24">
        <v>9.18</v>
      </c>
      <c r="D25" s="24">
        <v>9.92</v>
      </c>
      <c r="E25" s="24">
        <v>2500</v>
      </c>
      <c r="F25" s="58">
        <v>1.7</v>
      </c>
      <c r="G25" s="24">
        <v>650</v>
      </c>
      <c r="H25" s="24">
        <v>3530</v>
      </c>
      <c r="I25" s="33">
        <v>0</v>
      </c>
      <c r="J25" s="24" t="s">
        <v>308</v>
      </c>
      <c r="K25" s="33">
        <v>0</v>
      </c>
      <c r="L25" s="24" t="s">
        <v>201</v>
      </c>
      <c r="M25" s="60" t="s">
        <v>35</v>
      </c>
      <c r="N25" s="60" t="s">
        <v>35</v>
      </c>
      <c r="O25" s="89">
        <v>5790</v>
      </c>
      <c r="P25" s="233">
        <f t="shared" si="0"/>
        <v>171428.57142857145</v>
      </c>
    </row>
    <row r="26" spans="1:19" ht="15.75" thickBot="1" x14ac:dyDescent="0.3">
      <c r="A26" s="86" t="s">
        <v>242</v>
      </c>
      <c r="B26" s="36">
        <v>22.4</v>
      </c>
      <c r="C26" s="36">
        <v>9.18</v>
      </c>
      <c r="D26" s="36">
        <v>9.9499999999999993</v>
      </c>
      <c r="E26" s="36">
        <v>2700</v>
      </c>
      <c r="F26" s="60">
        <v>2</v>
      </c>
      <c r="G26" s="36">
        <v>650</v>
      </c>
      <c r="H26" s="36">
        <v>3590</v>
      </c>
      <c r="I26" s="33">
        <v>0</v>
      </c>
      <c r="J26" s="24" t="s">
        <v>309</v>
      </c>
      <c r="K26" s="33">
        <v>0</v>
      </c>
      <c r="L26" s="24" t="s">
        <v>201</v>
      </c>
      <c r="M26" s="60" t="s">
        <v>35</v>
      </c>
      <c r="N26" s="60" t="s">
        <v>35</v>
      </c>
      <c r="O26" s="35"/>
    </row>
    <row r="27" spans="1:19" x14ac:dyDescent="0.25">
      <c r="B27">
        <f>AVERAGE(B20)</f>
        <v>20.9</v>
      </c>
      <c r="C27">
        <f>AVERAGE(C20)</f>
        <v>9.23</v>
      </c>
      <c r="J27">
        <v>7.04</v>
      </c>
      <c r="N27" s="28"/>
    </row>
    <row r="28" spans="1:19" x14ac:dyDescent="0.25">
      <c r="A28" s="28" t="s">
        <v>140</v>
      </c>
      <c r="B28" s="28"/>
      <c r="C28" s="28"/>
      <c r="D28" s="28"/>
      <c r="E28" s="28"/>
      <c r="F28" s="28"/>
      <c r="G28" s="28"/>
      <c r="H28" s="28"/>
      <c r="I28" s="29"/>
      <c r="J28" s="28"/>
      <c r="K28" s="28"/>
      <c r="L28" s="28"/>
      <c r="M28" s="28"/>
      <c r="N28" s="28"/>
    </row>
    <row r="29" spans="1:19" x14ac:dyDescent="0.25">
      <c r="A29" s="28"/>
      <c r="B29" s="28" t="s">
        <v>141</v>
      </c>
      <c r="C29" s="28"/>
      <c r="D29" s="28"/>
      <c r="E29" s="28"/>
      <c r="F29" s="28"/>
      <c r="G29" s="28"/>
      <c r="H29" s="28"/>
      <c r="I29" s="29"/>
      <c r="J29" s="28"/>
      <c r="K29" s="28"/>
      <c r="L29" s="28" t="s">
        <v>34</v>
      </c>
      <c r="M29" s="28" t="s">
        <v>34</v>
      </c>
      <c r="N29" s="28" t="s">
        <v>34</v>
      </c>
    </row>
    <row r="30" spans="1:19" x14ac:dyDescent="0.25">
      <c r="A30" s="28" t="s">
        <v>272</v>
      </c>
      <c r="B30" s="28"/>
      <c r="C30" s="28"/>
      <c r="D30" s="28"/>
      <c r="E30" s="28"/>
      <c r="F30" s="28"/>
      <c r="G30" s="28"/>
      <c r="H30" s="28"/>
      <c r="I30" s="29"/>
      <c r="J30" s="28"/>
      <c r="K30" s="28" t="s">
        <v>34</v>
      </c>
      <c r="L30" s="28" t="s">
        <v>34</v>
      </c>
      <c r="M30" s="28"/>
      <c r="N30" s="28"/>
    </row>
    <row r="31" spans="1:19" x14ac:dyDescent="0.25">
      <c r="A31" s="59" t="s">
        <v>310</v>
      </c>
      <c r="F31" s="28"/>
      <c r="G31" s="28"/>
      <c r="H31" s="28"/>
      <c r="I31" s="29"/>
      <c r="J31" s="28"/>
      <c r="K31" s="28" t="s">
        <v>34</v>
      </c>
      <c r="L31" s="28" t="s">
        <v>34</v>
      </c>
      <c r="M31" s="28" t="s">
        <v>34</v>
      </c>
      <c r="N31" s="28"/>
    </row>
    <row r="32" spans="1:19" x14ac:dyDescent="0.25">
      <c r="A32" s="59" t="s">
        <v>341</v>
      </c>
      <c r="B32" s="72"/>
      <c r="C32" s="72"/>
      <c r="D32" s="72"/>
      <c r="E32" s="72"/>
      <c r="F32" s="28"/>
      <c r="G32" s="28"/>
      <c r="H32" s="28"/>
      <c r="I32" s="29"/>
      <c r="J32" s="28"/>
      <c r="K32" s="28"/>
      <c r="L32" s="28"/>
      <c r="M32" s="28"/>
      <c r="N32" s="28"/>
    </row>
    <row r="33" spans="1:14" x14ac:dyDescent="0.25">
      <c r="A33" s="19" t="s">
        <v>28</v>
      </c>
      <c r="B33" s="28"/>
      <c r="C33" s="28"/>
      <c r="D33" s="28"/>
      <c r="E33" s="28"/>
      <c r="F33" s="28"/>
      <c r="G33" s="28"/>
      <c r="H33" s="28"/>
      <c r="I33" s="29"/>
      <c r="J33" s="28"/>
      <c r="K33" s="28" t="s">
        <v>34</v>
      </c>
      <c r="L33" s="28" t="s">
        <v>34</v>
      </c>
      <c r="M33" s="28" t="s">
        <v>34</v>
      </c>
      <c r="N33" s="28"/>
    </row>
    <row r="34" spans="1:14" x14ac:dyDescent="0.25">
      <c r="A34" s="28"/>
      <c r="B34" s="264" t="s">
        <v>743</v>
      </c>
      <c r="C34" s="264"/>
      <c r="D34" s="28"/>
      <c r="E34" s="28"/>
      <c r="F34" s="28"/>
      <c r="G34" s="28"/>
      <c r="H34" s="28"/>
      <c r="I34" s="29"/>
      <c r="J34" s="28"/>
      <c r="K34" s="28"/>
      <c r="L34" s="28" t="s">
        <v>34</v>
      </c>
      <c r="M34" s="28" t="s">
        <v>34</v>
      </c>
      <c r="N34" s="28"/>
    </row>
    <row r="35" spans="1:14" x14ac:dyDescent="0.25">
      <c r="A35" s="28"/>
      <c r="B35" s="264"/>
      <c r="C35" s="264"/>
      <c r="D35" s="41"/>
      <c r="E35" s="41"/>
      <c r="F35" s="41"/>
      <c r="G35" s="41"/>
      <c r="H35" s="41"/>
      <c r="I35" s="41"/>
      <c r="J35" s="41"/>
      <c r="K35" s="41"/>
      <c r="L35" s="41" t="s">
        <v>34</v>
      </c>
      <c r="M35" s="28"/>
      <c r="N35" s="28"/>
    </row>
    <row r="36" spans="1:14" x14ac:dyDescent="0.25">
      <c r="A36" s="28"/>
      <c r="B36" s="263" t="s">
        <v>146</v>
      </c>
      <c r="C36" s="261"/>
      <c r="D36" s="41"/>
      <c r="E36" s="41"/>
      <c r="F36" s="41"/>
      <c r="G36" s="41"/>
      <c r="H36" s="41"/>
      <c r="I36" s="41"/>
      <c r="J36" s="41"/>
      <c r="K36" s="41"/>
      <c r="L36" s="41"/>
      <c r="M36" s="28"/>
      <c r="N36" s="28"/>
    </row>
    <row r="37" spans="1:14" x14ac:dyDescent="0.25">
      <c r="A37" s="28"/>
      <c r="B37" s="264" t="s">
        <v>302</v>
      </c>
      <c r="C37" s="264"/>
      <c r="D37" s="28"/>
      <c r="E37" s="28"/>
      <c r="F37" s="28"/>
      <c r="G37" s="28"/>
      <c r="H37" s="28"/>
      <c r="I37" s="29"/>
      <c r="J37" s="28"/>
      <c r="K37" s="28"/>
      <c r="L37" s="28"/>
      <c r="M37" s="28" t="s">
        <v>34</v>
      </c>
      <c r="N37" s="28"/>
    </row>
    <row r="38" spans="1:14" x14ac:dyDescent="0.25">
      <c r="A38" s="28"/>
      <c r="B38" s="264" t="s">
        <v>303</v>
      </c>
      <c r="C38" s="264"/>
      <c r="D38" s="41"/>
      <c r="E38" s="41"/>
      <c r="F38" s="41"/>
      <c r="G38" s="41"/>
      <c r="H38" s="41"/>
      <c r="I38" s="41"/>
      <c r="J38" s="41"/>
      <c r="K38" s="41"/>
      <c r="L38" s="41"/>
      <c r="M38" s="28"/>
      <c r="N38" s="28"/>
    </row>
    <row r="39" spans="1:14" x14ac:dyDescent="0.25">
      <c r="A39" s="28"/>
      <c r="B39" s="264" t="s">
        <v>304</v>
      </c>
      <c r="C39" s="262"/>
      <c r="D39" s="41"/>
      <c r="E39" s="41"/>
      <c r="F39" s="41"/>
      <c r="G39" s="41"/>
      <c r="H39" s="41"/>
      <c r="I39" s="41"/>
      <c r="J39" s="41"/>
      <c r="K39" s="41"/>
      <c r="L39" s="41"/>
      <c r="M39" s="28"/>
      <c r="N39" s="28"/>
    </row>
    <row r="40" spans="1:14" x14ac:dyDescent="0.25">
      <c r="A40" s="28"/>
      <c r="B40" s="266" t="s">
        <v>156</v>
      </c>
      <c r="C40" s="267"/>
      <c r="M40" s="28"/>
      <c r="N40" s="28"/>
    </row>
    <row r="41" spans="1:14" x14ac:dyDescent="0.25">
      <c r="A41" s="28"/>
      <c r="B41" s="264" t="s">
        <v>339</v>
      </c>
      <c r="C41" s="264"/>
      <c r="D41" s="87"/>
      <c r="E41" s="87"/>
      <c r="F41" s="87"/>
      <c r="G41" s="87"/>
      <c r="H41" s="87"/>
      <c r="I41" s="88"/>
      <c r="J41" s="87"/>
      <c r="K41" s="87"/>
      <c r="L41" s="28"/>
      <c r="N41" s="28"/>
    </row>
    <row r="42" spans="1:14" x14ac:dyDescent="0.25">
      <c r="A42" s="28"/>
      <c r="B42" s="268" t="s">
        <v>36</v>
      </c>
      <c r="C42" s="261"/>
      <c r="D42" s="41"/>
      <c r="E42" s="41"/>
      <c r="F42" s="41"/>
      <c r="G42" s="41"/>
      <c r="H42" s="41"/>
      <c r="I42" s="41"/>
      <c r="J42" s="41"/>
      <c r="K42" s="41"/>
      <c r="L42" s="41"/>
      <c r="N42" s="28"/>
    </row>
    <row r="43" spans="1:14" x14ac:dyDescent="0.25">
      <c r="A43" s="28"/>
      <c r="B43" s="263" t="s">
        <v>335</v>
      </c>
      <c r="C43" s="262"/>
      <c r="D43" s="28"/>
      <c r="E43" s="28"/>
      <c r="F43" s="28"/>
      <c r="G43" s="28"/>
      <c r="H43" s="28"/>
      <c r="I43" s="29"/>
      <c r="J43" s="28"/>
      <c r="K43" s="28"/>
      <c r="M43" s="28"/>
      <c r="N43" s="28"/>
    </row>
    <row r="44" spans="1:14" x14ac:dyDescent="0.25">
      <c r="A44" s="28"/>
      <c r="B44" s="264" t="s">
        <v>336</v>
      </c>
      <c r="C44" s="262"/>
      <c r="M44" s="28"/>
      <c r="N44" s="28"/>
    </row>
    <row r="45" spans="1:14" x14ac:dyDescent="0.25">
      <c r="B45" s="281" t="s">
        <v>340</v>
      </c>
      <c r="C45" s="281"/>
      <c r="N45" s="28"/>
    </row>
    <row r="46" spans="1:14" x14ac:dyDescent="0.25">
      <c r="B46" s="263" t="s">
        <v>311</v>
      </c>
      <c r="C46" s="262"/>
      <c r="D46" s="79"/>
      <c r="E46" s="79"/>
      <c r="F46" s="79"/>
      <c r="G46" s="79"/>
      <c r="H46" s="79"/>
      <c r="I46" s="79"/>
      <c r="J46" s="79"/>
      <c r="K46" s="79"/>
      <c r="L46" s="79"/>
    </row>
    <row r="47" spans="1:14" x14ac:dyDescent="0.25">
      <c r="B47" s="264" t="s">
        <v>312</v>
      </c>
      <c r="C47" s="262"/>
    </row>
    <row r="48" spans="1:14" x14ac:dyDescent="0.25">
      <c r="B48" s="262"/>
      <c r="C48" s="262"/>
      <c r="L48" s="28"/>
    </row>
    <row r="49" spans="2:14" x14ac:dyDescent="0.25">
      <c r="B49" s="264" t="s">
        <v>744</v>
      </c>
      <c r="C49" s="262"/>
      <c r="N49" t="s">
        <v>34</v>
      </c>
    </row>
    <row r="50" spans="2:14" x14ac:dyDescent="0.25">
      <c r="B50" s="263" t="s">
        <v>313</v>
      </c>
      <c r="C50" s="262"/>
      <c r="D50" s="64"/>
      <c r="E50" s="64"/>
      <c r="F50" s="64"/>
      <c r="G50" s="64"/>
      <c r="H50" s="64"/>
      <c r="I50" s="64"/>
      <c r="J50" s="64"/>
      <c r="K50" s="64"/>
      <c r="L50" s="65"/>
    </row>
    <row r="51" spans="2:14" x14ac:dyDescent="0.25">
      <c r="B51" s="263" t="s">
        <v>745</v>
      </c>
      <c r="C51" s="261"/>
    </row>
    <row r="52" spans="2:14" x14ac:dyDescent="0.25">
      <c r="B52" s="263" t="s">
        <v>314</v>
      </c>
      <c r="C52" s="262"/>
      <c r="D52" s="28"/>
      <c r="E52" s="28"/>
      <c r="F52" s="28"/>
      <c r="G52" s="28"/>
      <c r="H52" s="28"/>
      <c r="I52" s="29"/>
      <c r="J52" s="28"/>
    </row>
    <row r="53" spans="2:14" x14ac:dyDescent="0.25">
      <c r="B53" s="262"/>
      <c r="C53" s="262"/>
    </row>
    <row r="54" spans="2:14" x14ac:dyDescent="0.25">
      <c r="B54" s="264" t="s">
        <v>734</v>
      </c>
      <c r="C54" s="264"/>
    </row>
    <row r="55" spans="2:14" x14ac:dyDescent="0.25">
      <c r="B55" s="264" t="s">
        <v>155</v>
      </c>
      <c r="C55" s="264"/>
      <c r="D55" s="41"/>
      <c r="E55" s="41"/>
      <c r="F55" s="41"/>
      <c r="G55" s="41"/>
      <c r="H55" s="41"/>
      <c r="I55" s="41"/>
      <c r="J55" s="41"/>
      <c r="K55" s="41"/>
    </row>
    <row r="56" spans="2:14" x14ac:dyDescent="0.25">
      <c r="B56" s="263" t="s">
        <v>157</v>
      </c>
      <c r="C56" s="261"/>
      <c r="D56" s="41"/>
      <c r="E56" s="41"/>
      <c r="F56" s="41"/>
      <c r="G56" s="41"/>
      <c r="H56" s="41"/>
      <c r="I56" s="41"/>
      <c r="J56" s="41"/>
      <c r="K56" s="41"/>
    </row>
    <row r="57" spans="2:14" x14ac:dyDescent="0.25">
      <c r="D57" s="28"/>
      <c r="E57" s="28"/>
      <c r="F57" s="28"/>
      <c r="G57" s="28"/>
      <c r="H57" s="29"/>
      <c r="I57" s="28"/>
      <c r="J57" s="41"/>
      <c r="K57" s="28"/>
    </row>
  </sheetData>
  <pageMargins left="0.7" right="0.7" top="0.75" bottom="0.75" header="0.3" footer="0.3"/>
  <pageSetup scale="57" orientation="landscape" verticalDpi="597" r:id="rId1"/>
  <drawing r:id="rId2"/>
  <legacyDrawing r:id="rId3"/>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pageSetUpPr fitToPage="1"/>
  </sheetPr>
  <dimension ref="A6:S57"/>
  <sheetViews>
    <sheetView zoomScale="90" zoomScaleNormal="90" workbookViewId="0"/>
  </sheetViews>
  <sheetFormatPr defaultRowHeight="15" x14ac:dyDescent="0.25"/>
  <sheetData>
    <row r="6" spans="1:15" x14ac:dyDescent="0.25">
      <c r="A6" s="7" t="s">
        <v>12</v>
      </c>
      <c r="B6" s="28"/>
      <c r="C6" s="28"/>
      <c r="D6" s="28"/>
      <c r="E6" s="28"/>
      <c r="F6" s="28"/>
      <c r="G6" s="28"/>
      <c r="H6" s="28"/>
      <c r="I6" s="29"/>
      <c r="J6" s="28"/>
      <c r="K6" s="28"/>
      <c r="L6" s="28"/>
      <c r="M6" s="28"/>
      <c r="N6" s="28"/>
      <c r="O6" s="28"/>
    </row>
    <row r="7" spans="1:15" x14ac:dyDescent="0.25">
      <c r="A7" s="30" t="s">
        <v>13</v>
      </c>
      <c r="B7" s="30">
        <v>41031</v>
      </c>
    </row>
    <row r="8" spans="1:15" x14ac:dyDescent="0.25">
      <c r="A8" s="28" t="s">
        <v>14</v>
      </c>
      <c r="B8" s="28">
        <v>27</v>
      </c>
      <c r="C8" s="28" t="s">
        <v>472</v>
      </c>
      <c r="D8" s="28"/>
      <c r="E8" s="28"/>
      <c r="F8" s="28"/>
      <c r="G8" s="28"/>
      <c r="H8" s="28"/>
      <c r="I8" s="29"/>
      <c r="J8" s="28"/>
      <c r="K8" s="28" t="s">
        <v>34</v>
      </c>
      <c r="L8" s="28" t="s">
        <v>34</v>
      </c>
      <c r="M8" s="28"/>
      <c r="N8" s="28"/>
    </row>
    <row r="9" spans="1:15" x14ac:dyDescent="0.25">
      <c r="A9" s="28" t="s">
        <v>15</v>
      </c>
      <c r="B9" s="28">
        <v>1</v>
      </c>
      <c r="C9" s="19" t="s">
        <v>387</v>
      </c>
      <c r="D9" s="28"/>
      <c r="E9" s="28"/>
      <c r="F9" s="28"/>
      <c r="G9" s="28"/>
      <c r="H9" s="28"/>
      <c r="I9" s="29"/>
      <c r="J9" s="19" t="s">
        <v>719</v>
      </c>
      <c r="K9" s="28"/>
      <c r="L9" s="28">
        <f>B19</f>
        <v>20.100000000000001</v>
      </c>
      <c r="M9" s="28"/>
      <c r="N9" s="28"/>
    </row>
    <row r="10" spans="1:15" x14ac:dyDescent="0.25">
      <c r="A10" s="28" t="s">
        <v>16</v>
      </c>
      <c r="B10" s="87">
        <v>2000</v>
      </c>
      <c r="C10" s="31" t="s">
        <v>195</v>
      </c>
      <c r="D10" s="28"/>
      <c r="E10" s="28"/>
      <c r="F10" s="28"/>
      <c r="G10" s="28"/>
      <c r="H10" s="28"/>
      <c r="I10" s="29" t="s">
        <v>34</v>
      </c>
      <c r="J10" s="28" t="s">
        <v>34</v>
      </c>
      <c r="K10" s="28" t="s">
        <v>34</v>
      </c>
      <c r="L10" s="28" t="s">
        <v>34</v>
      </c>
      <c r="M10" s="28" t="s">
        <v>34</v>
      </c>
      <c r="N10" s="28" t="s">
        <v>34</v>
      </c>
    </row>
    <row r="11" spans="1:15" x14ac:dyDescent="0.25">
      <c r="A11" s="28"/>
      <c r="B11" s="243">
        <v>200000000</v>
      </c>
      <c r="C11" s="31" t="s">
        <v>58</v>
      </c>
      <c r="D11" s="28"/>
      <c r="E11" s="28"/>
      <c r="F11" s="28"/>
      <c r="G11" s="28"/>
      <c r="H11" s="28"/>
      <c r="I11" s="29"/>
      <c r="J11" s="28"/>
      <c r="K11" s="28" t="s">
        <v>34</v>
      </c>
      <c r="L11" s="28"/>
      <c r="M11" s="28"/>
      <c r="N11" s="28"/>
    </row>
    <row r="12" spans="1:15" x14ac:dyDescent="0.25">
      <c r="A12" s="28"/>
      <c r="B12" s="87">
        <v>95</v>
      </c>
      <c r="C12" s="31" t="s">
        <v>44</v>
      </c>
      <c r="D12" s="28"/>
      <c r="E12" s="28"/>
      <c r="F12" s="28"/>
      <c r="G12" s="28"/>
      <c r="H12" s="28"/>
      <c r="I12" s="29"/>
      <c r="J12" s="28"/>
      <c r="K12" s="28"/>
      <c r="L12" s="28"/>
      <c r="M12" s="28"/>
      <c r="N12" s="28"/>
    </row>
    <row r="13" spans="1:15" x14ac:dyDescent="0.25">
      <c r="A13" s="28"/>
      <c r="B13" s="244">
        <v>6</v>
      </c>
      <c r="C13" s="28" t="s">
        <v>697</v>
      </c>
      <c r="D13" s="28"/>
      <c r="E13" s="28"/>
      <c r="F13" s="28"/>
      <c r="G13" s="28"/>
      <c r="H13" s="28"/>
      <c r="I13" s="251"/>
      <c r="J13" s="28"/>
      <c r="K13" s="28"/>
      <c r="L13" s="28"/>
      <c r="M13" s="28"/>
      <c r="N13" s="28"/>
    </row>
    <row r="14" spans="1:15" x14ac:dyDescent="0.25">
      <c r="A14" s="28"/>
      <c r="B14" s="244">
        <v>100</v>
      </c>
      <c r="C14" s="87" t="s">
        <v>696</v>
      </c>
      <c r="D14" s="28"/>
      <c r="E14" s="28"/>
      <c r="F14" s="28"/>
      <c r="G14" s="28"/>
      <c r="H14" s="28"/>
      <c r="I14" s="251"/>
      <c r="J14" s="28"/>
      <c r="K14" s="28"/>
      <c r="L14" s="28"/>
      <c r="M14" s="28"/>
      <c r="N14" s="28"/>
    </row>
    <row r="15" spans="1:15" x14ac:dyDescent="0.25">
      <c r="A15" s="28"/>
      <c r="B15" s="244">
        <v>0</v>
      </c>
      <c r="C15" s="87" t="s">
        <v>698</v>
      </c>
      <c r="D15" s="28"/>
      <c r="E15" s="28"/>
      <c r="F15" s="28"/>
      <c r="G15" s="28"/>
      <c r="H15" s="28"/>
      <c r="I15" s="251"/>
      <c r="J15" s="28"/>
      <c r="K15" s="28"/>
      <c r="L15" s="28"/>
      <c r="M15" s="28"/>
      <c r="N15" s="28"/>
    </row>
    <row r="16" spans="1:15" x14ac:dyDescent="0.25">
      <c r="A16" s="28"/>
      <c r="B16" s="245">
        <f>(B12*B13/100*1000)/(B10+B12-B14+B15)*1000</f>
        <v>2857.1428571428573</v>
      </c>
      <c r="C16" s="28" t="s">
        <v>700</v>
      </c>
      <c r="D16" s="28"/>
      <c r="E16" s="28"/>
      <c r="F16" s="28"/>
      <c r="G16" s="28"/>
      <c r="H16" s="28"/>
      <c r="I16" s="251"/>
      <c r="J16" s="28"/>
      <c r="K16" s="28"/>
      <c r="L16" s="28"/>
      <c r="M16" s="28"/>
      <c r="N16" s="28"/>
    </row>
    <row r="17" spans="1:19" ht="15.75" thickBot="1" x14ac:dyDescent="0.3">
      <c r="A17" s="28"/>
      <c r="B17" s="28" t="s">
        <v>647</v>
      </c>
      <c r="C17" s="28"/>
      <c r="D17" s="28"/>
      <c r="E17" s="28"/>
      <c r="F17" s="28"/>
      <c r="G17" s="28"/>
      <c r="H17" s="28"/>
      <c r="I17" s="29"/>
      <c r="J17" s="28"/>
      <c r="K17" s="28"/>
      <c r="L17" s="28"/>
      <c r="M17" s="28"/>
      <c r="N17" s="28"/>
    </row>
    <row r="18" spans="1:19" ht="90" thickBot="1" x14ac:dyDescent="0.3">
      <c r="A18" s="10" t="s">
        <v>29</v>
      </c>
      <c r="B18" s="11" t="s">
        <v>17</v>
      </c>
      <c r="C18" s="11" t="s">
        <v>30</v>
      </c>
      <c r="D18" s="11" t="s">
        <v>31</v>
      </c>
      <c r="E18" s="11" t="s">
        <v>32</v>
      </c>
      <c r="F18" s="11" t="s">
        <v>351</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20.100000000000001</v>
      </c>
      <c r="C19" s="23">
        <v>9.26</v>
      </c>
      <c r="D19" s="23">
        <v>9.17</v>
      </c>
      <c r="E19" s="23">
        <v>1.2</v>
      </c>
      <c r="F19" s="91">
        <v>1.5</v>
      </c>
      <c r="G19" s="23">
        <v>650</v>
      </c>
      <c r="H19" s="23">
        <v>3530</v>
      </c>
      <c r="I19" s="33">
        <v>13000000</v>
      </c>
      <c r="J19" s="125">
        <f>LOG(I$19)-LOG(I19)</f>
        <v>0</v>
      </c>
      <c r="K19" s="33">
        <v>74000000</v>
      </c>
      <c r="L19" s="23" t="s">
        <v>26</v>
      </c>
      <c r="M19" s="34"/>
      <c r="N19" s="34"/>
      <c r="O19" s="35"/>
      <c r="P19" s="233">
        <f>B$16*A19</f>
        <v>0</v>
      </c>
      <c r="Q19" s="233">
        <f>6/LINEST(J19:J21,P19:P21,FALSE)</f>
        <v>23848.746662478061</v>
      </c>
      <c r="R19" s="233">
        <f>Q19/3000</f>
        <v>7.9495822208260201</v>
      </c>
      <c r="S19" s="233">
        <f>(J27/LINEST($J19:$J21,$P19:$P21,FALSE))/$B$16</f>
        <v>9.8912676782627749</v>
      </c>
    </row>
    <row r="20" spans="1:19" ht="15.75" thickBot="1" x14ac:dyDescent="0.3">
      <c r="A20" s="32">
        <v>3</v>
      </c>
      <c r="B20" s="24">
        <v>19.899999999999999</v>
      </c>
      <c r="C20" s="24">
        <v>9.2899999999999991</v>
      </c>
      <c r="D20" s="24">
        <v>10.07</v>
      </c>
      <c r="E20" s="24">
        <v>2200</v>
      </c>
      <c r="F20" s="58">
        <v>3.4</v>
      </c>
      <c r="G20" s="24">
        <v>600</v>
      </c>
      <c r="H20" s="24">
        <v>3720</v>
      </c>
      <c r="I20" s="33">
        <v>210000</v>
      </c>
      <c r="J20" s="125">
        <f>LOG(I$19)-LOG(I20)</f>
        <v>1.7917240575729174</v>
      </c>
      <c r="K20" s="33" t="s">
        <v>301</v>
      </c>
      <c r="L20" s="24" t="s">
        <v>201</v>
      </c>
      <c r="M20" s="35"/>
      <c r="N20" s="35"/>
      <c r="O20" s="35"/>
      <c r="P20" s="233">
        <f>B$16*A20</f>
        <v>8571.4285714285725</v>
      </c>
    </row>
    <row r="21" spans="1:19" ht="15.75" thickBot="1" x14ac:dyDescent="0.3">
      <c r="A21" s="32">
        <v>5</v>
      </c>
      <c r="B21" s="24">
        <v>19.8</v>
      </c>
      <c r="C21" s="24">
        <v>9.3000000000000007</v>
      </c>
      <c r="D21" s="24">
        <v>10.09</v>
      </c>
      <c r="E21" s="24">
        <v>2500</v>
      </c>
      <c r="F21" s="58">
        <v>3</v>
      </c>
      <c r="G21" s="24">
        <v>600</v>
      </c>
      <c r="H21" s="24"/>
      <c r="I21" s="33">
        <v>2000</v>
      </c>
      <c r="J21" s="125">
        <f>LOG(I$19)-LOG(I21)</f>
        <v>3.8129133566428557</v>
      </c>
      <c r="K21" s="33" t="s">
        <v>301</v>
      </c>
      <c r="L21" s="24" t="s">
        <v>201</v>
      </c>
      <c r="M21" s="35"/>
      <c r="N21" s="35"/>
      <c r="O21" s="35"/>
      <c r="P21" s="233">
        <f>B$16*A21</f>
        <v>14285.714285714286</v>
      </c>
    </row>
    <row r="22" spans="1:19" ht="15.75" thickBot="1" x14ac:dyDescent="0.3">
      <c r="A22" s="32">
        <v>10</v>
      </c>
      <c r="B22" s="24">
        <v>19.8</v>
      </c>
      <c r="C22" s="24">
        <v>9.34</v>
      </c>
      <c r="D22" s="24">
        <v>10.09</v>
      </c>
      <c r="E22" s="24">
        <v>2500</v>
      </c>
      <c r="F22" s="58">
        <v>3.7</v>
      </c>
      <c r="G22" s="24">
        <v>600</v>
      </c>
      <c r="H22" s="24"/>
      <c r="I22" s="33">
        <v>0</v>
      </c>
      <c r="J22" s="24" t="s">
        <v>166</v>
      </c>
      <c r="K22" s="33">
        <v>0</v>
      </c>
      <c r="L22" s="24" t="s">
        <v>201</v>
      </c>
      <c r="M22" s="35"/>
      <c r="N22" s="35"/>
      <c r="O22" s="35"/>
      <c r="P22" s="233"/>
    </row>
    <row r="23" spans="1:19" ht="15.75" thickBot="1" x14ac:dyDescent="0.3">
      <c r="A23" s="32">
        <v>15</v>
      </c>
      <c r="B23" s="24">
        <v>19.8</v>
      </c>
      <c r="C23" s="24">
        <v>9.34</v>
      </c>
      <c r="D23" s="24">
        <v>10.09</v>
      </c>
      <c r="E23" s="24">
        <v>2300</v>
      </c>
      <c r="F23" s="58">
        <v>2.1</v>
      </c>
      <c r="G23" s="24">
        <v>600</v>
      </c>
      <c r="H23" s="24"/>
      <c r="I23" s="33">
        <v>0</v>
      </c>
      <c r="J23" s="24" t="s">
        <v>166</v>
      </c>
      <c r="K23" s="33">
        <v>0</v>
      </c>
      <c r="L23" s="24" t="s">
        <v>201</v>
      </c>
      <c r="M23" s="35"/>
      <c r="N23" s="35"/>
      <c r="O23" s="35"/>
      <c r="P23" s="233"/>
    </row>
    <row r="24" spans="1:19" ht="15.75" thickBot="1" x14ac:dyDescent="0.3">
      <c r="A24" s="32">
        <v>30</v>
      </c>
      <c r="B24" s="24">
        <v>20.399999999999999</v>
      </c>
      <c r="C24" s="24">
        <v>9.3000000000000007</v>
      </c>
      <c r="D24" s="24">
        <v>10.08</v>
      </c>
      <c r="E24" s="24">
        <v>2000</v>
      </c>
      <c r="F24" s="58">
        <v>2.4</v>
      </c>
      <c r="G24" s="24">
        <v>600</v>
      </c>
      <c r="H24" s="24"/>
      <c r="I24" s="33">
        <v>0</v>
      </c>
      <c r="J24" s="24" t="s">
        <v>315</v>
      </c>
      <c r="K24" s="33">
        <v>0</v>
      </c>
      <c r="L24" s="24" t="s">
        <v>201</v>
      </c>
      <c r="M24" s="36"/>
      <c r="N24" s="36"/>
      <c r="O24" s="35"/>
      <c r="P24" s="233"/>
    </row>
    <row r="25" spans="1:19" ht="15.75" thickBot="1" x14ac:dyDescent="0.3">
      <c r="A25" s="32">
        <v>60</v>
      </c>
      <c r="B25" s="24">
        <v>18.8</v>
      </c>
      <c r="C25" s="24">
        <v>9.2899999999999991</v>
      </c>
      <c r="D25" s="24">
        <v>10.09</v>
      </c>
      <c r="E25" s="24">
        <v>2000</v>
      </c>
      <c r="F25" s="58">
        <v>2</v>
      </c>
      <c r="G25" s="24">
        <v>600</v>
      </c>
      <c r="H25" s="24">
        <v>3680</v>
      </c>
      <c r="I25" s="33">
        <v>0</v>
      </c>
      <c r="J25" s="24" t="s">
        <v>315</v>
      </c>
      <c r="K25" s="33">
        <v>0</v>
      </c>
      <c r="L25" s="24" t="s">
        <v>201</v>
      </c>
      <c r="M25" s="36">
        <v>222</v>
      </c>
      <c r="N25" s="60">
        <v>63048</v>
      </c>
      <c r="O25" s="89">
        <v>5840</v>
      </c>
      <c r="P25" s="233"/>
    </row>
    <row r="26" spans="1:19" ht="15.75" thickBot="1" x14ac:dyDescent="0.3">
      <c r="A26" s="86" t="s">
        <v>242</v>
      </c>
      <c r="B26" s="36">
        <v>18.8</v>
      </c>
      <c r="C26" s="36">
        <v>9.2899999999999991</v>
      </c>
      <c r="D26" s="36">
        <v>10.09</v>
      </c>
      <c r="E26" s="36">
        <v>2400</v>
      </c>
      <c r="F26" s="60">
        <v>2</v>
      </c>
      <c r="G26" s="36">
        <v>600</v>
      </c>
      <c r="H26" s="36">
        <v>3630</v>
      </c>
      <c r="I26" s="33">
        <v>0</v>
      </c>
      <c r="J26" s="24" t="s">
        <v>166</v>
      </c>
      <c r="K26" s="33">
        <v>0</v>
      </c>
      <c r="L26" s="24" t="s">
        <v>201</v>
      </c>
      <c r="M26" s="36">
        <v>252</v>
      </c>
      <c r="N26" s="60">
        <v>64042</v>
      </c>
      <c r="O26" s="35"/>
    </row>
    <row r="27" spans="1:19" x14ac:dyDescent="0.25">
      <c r="B27">
        <f>AVERAGE(B20:B21)</f>
        <v>19.850000000000001</v>
      </c>
      <c r="C27">
        <f>AVERAGE(C20:C21)</f>
        <v>9.2949999999999999</v>
      </c>
      <c r="J27">
        <v>7.11</v>
      </c>
      <c r="N27" s="28"/>
    </row>
    <row r="28" spans="1:19" x14ac:dyDescent="0.25">
      <c r="A28" s="28" t="s">
        <v>140</v>
      </c>
      <c r="B28" s="28"/>
      <c r="C28" s="28"/>
      <c r="D28" s="28"/>
      <c r="E28" s="28"/>
      <c r="F28" s="28"/>
      <c r="G28" s="28"/>
      <c r="H28" s="28"/>
      <c r="I28" s="29"/>
      <c r="J28" s="28"/>
      <c r="K28" s="28"/>
      <c r="L28" s="28"/>
      <c r="M28" s="28"/>
      <c r="N28" s="28"/>
    </row>
    <row r="29" spans="1:19" x14ac:dyDescent="0.25">
      <c r="A29" s="28"/>
      <c r="B29" s="28" t="s">
        <v>141</v>
      </c>
      <c r="C29" s="28"/>
      <c r="D29" s="28"/>
      <c r="E29" s="28"/>
      <c r="F29" s="28"/>
      <c r="G29" s="28"/>
      <c r="H29" s="28"/>
      <c r="I29" s="29"/>
      <c r="J29" s="28"/>
      <c r="K29" s="28" t="s">
        <v>34</v>
      </c>
      <c r="L29" s="28" t="s">
        <v>34</v>
      </c>
      <c r="M29" s="28" t="s">
        <v>34</v>
      </c>
      <c r="N29" s="28" t="s">
        <v>34</v>
      </c>
    </row>
    <row r="30" spans="1:19" x14ac:dyDescent="0.25">
      <c r="A30" s="28" t="s">
        <v>272</v>
      </c>
      <c r="B30" s="28"/>
      <c r="C30" s="28"/>
      <c r="D30" s="28"/>
      <c r="E30" s="28"/>
      <c r="F30" s="28"/>
      <c r="G30" s="28"/>
      <c r="H30" s="28"/>
      <c r="I30" s="29"/>
      <c r="J30" s="28"/>
      <c r="K30" s="28" t="s">
        <v>34</v>
      </c>
      <c r="L30" s="28" t="s">
        <v>34</v>
      </c>
      <c r="M30" s="28"/>
      <c r="N30" s="28"/>
    </row>
    <row r="31" spans="1:19" x14ac:dyDescent="0.25">
      <c r="A31" s="59" t="s">
        <v>310</v>
      </c>
      <c r="F31" s="28"/>
      <c r="G31" s="28"/>
      <c r="H31" s="28"/>
      <c r="I31" s="29"/>
      <c r="J31" s="28"/>
      <c r="K31" s="28" t="s">
        <v>34</v>
      </c>
      <c r="L31" s="28" t="s">
        <v>34</v>
      </c>
      <c r="M31" s="28" t="s">
        <v>34</v>
      </c>
      <c r="N31" s="28"/>
    </row>
    <row r="32" spans="1:19" x14ac:dyDescent="0.25">
      <c r="A32" s="59"/>
      <c r="F32" s="28"/>
      <c r="G32" s="28"/>
      <c r="H32" s="28"/>
      <c r="I32" s="29"/>
      <c r="J32" s="28"/>
      <c r="K32" s="28"/>
      <c r="L32" s="28"/>
      <c r="M32" s="28"/>
      <c r="N32" s="28"/>
    </row>
    <row r="33" spans="1:14" x14ac:dyDescent="0.25">
      <c r="A33" s="19" t="s">
        <v>28</v>
      </c>
      <c r="C33" s="264" t="s">
        <v>746</v>
      </c>
      <c r="D33" s="261"/>
      <c r="E33" s="261"/>
      <c r="F33" s="261"/>
      <c r="G33" s="261"/>
      <c r="H33" s="261"/>
      <c r="I33" s="265"/>
      <c r="J33" s="28"/>
      <c r="K33" s="28" t="s">
        <v>34</v>
      </c>
      <c r="L33" s="28" t="s">
        <v>34</v>
      </c>
      <c r="M33" s="28" t="s">
        <v>34</v>
      </c>
      <c r="N33" s="28"/>
    </row>
    <row r="34" spans="1:14" x14ac:dyDescent="0.25">
      <c r="A34" s="28"/>
      <c r="C34" s="264"/>
      <c r="D34" s="261"/>
      <c r="E34" s="261"/>
      <c r="F34" s="261"/>
      <c r="G34" s="261"/>
      <c r="H34" s="261"/>
      <c r="I34" s="265"/>
      <c r="J34" s="28"/>
      <c r="K34" s="28"/>
      <c r="L34" s="28" t="s">
        <v>34</v>
      </c>
      <c r="M34" s="28" t="s">
        <v>34</v>
      </c>
      <c r="N34" s="28"/>
    </row>
    <row r="35" spans="1:14" x14ac:dyDescent="0.25">
      <c r="A35" s="28"/>
      <c r="C35" s="263" t="s">
        <v>146</v>
      </c>
      <c r="D35" s="264"/>
      <c r="E35" s="264"/>
      <c r="F35" s="264"/>
      <c r="G35" s="264"/>
      <c r="H35" s="264"/>
      <c r="I35" s="264"/>
      <c r="J35" s="189"/>
      <c r="K35" s="189"/>
      <c r="L35" s="189" t="s">
        <v>34</v>
      </c>
      <c r="M35" s="28"/>
      <c r="N35" s="28"/>
    </row>
    <row r="36" spans="1:14" x14ac:dyDescent="0.25">
      <c r="A36" s="28"/>
      <c r="C36" s="264" t="s">
        <v>302</v>
      </c>
      <c r="D36" s="264"/>
      <c r="E36" s="264"/>
      <c r="F36" s="264"/>
      <c r="G36" s="264"/>
      <c r="H36" s="264"/>
      <c r="I36" s="264"/>
      <c r="J36" s="189"/>
      <c r="K36" s="189"/>
      <c r="L36" s="189"/>
      <c r="M36" s="28"/>
      <c r="N36" s="28"/>
    </row>
    <row r="37" spans="1:14" x14ac:dyDescent="0.25">
      <c r="A37" s="28"/>
      <c r="C37" s="264" t="s">
        <v>303</v>
      </c>
      <c r="D37" s="261"/>
      <c r="E37" s="261"/>
      <c r="F37" s="261"/>
      <c r="G37" s="261"/>
      <c r="H37" s="261"/>
      <c r="I37" s="265"/>
      <c r="J37" s="28"/>
      <c r="K37" s="28"/>
      <c r="L37" s="28"/>
      <c r="M37" s="28" t="s">
        <v>34</v>
      </c>
      <c r="N37" s="28"/>
    </row>
    <row r="38" spans="1:14" x14ac:dyDescent="0.25">
      <c r="A38" s="28"/>
      <c r="C38" s="264" t="s">
        <v>304</v>
      </c>
      <c r="D38" s="264"/>
      <c r="E38" s="264"/>
      <c r="F38" s="264"/>
      <c r="G38" s="264"/>
      <c r="H38" s="264"/>
      <c r="I38" s="264"/>
      <c r="J38" s="189"/>
      <c r="K38" s="189"/>
      <c r="L38" s="189"/>
      <c r="M38" s="28"/>
      <c r="N38" s="28"/>
    </row>
    <row r="39" spans="1:14" x14ac:dyDescent="0.25">
      <c r="A39" s="28"/>
      <c r="C39" s="266" t="s">
        <v>156</v>
      </c>
      <c r="D39" s="264"/>
      <c r="E39" s="264"/>
      <c r="F39" s="264"/>
      <c r="G39" s="264"/>
      <c r="H39" s="264"/>
      <c r="I39" s="264"/>
      <c r="J39" s="189"/>
      <c r="K39" s="189"/>
      <c r="L39" s="189"/>
      <c r="M39" s="28"/>
      <c r="N39" s="28"/>
    </row>
    <row r="40" spans="1:14" x14ac:dyDescent="0.25">
      <c r="A40" s="28"/>
      <c r="C40" s="264" t="s">
        <v>342</v>
      </c>
      <c r="D40" s="262"/>
      <c r="E40" s="262"/>
      <c r="F40" s="262"/>
      <c r="G40" s="262"/>
      <c r="H40" s="262"/>
      <c r="I40" s="262"/>
      <c r="J40" s="90"/>
      <c r="K40" s="90"/>
      <c r="L40" s="90"/>
      <c r="M40" s="28"/>
      <c r="N40" s="28"/>
    </row>
    <row r="41" spans="1:14" x14ac:dyDescent="0.25">
      <c r="A41" s="28"/>
      <c r="C41" s="268" t="s">
        <v>36</v>
      </c>
      <c r="D41" s="267"/>
      <c r="E41" s="267"/>
      <c r="F41" s="267"/>
      <c r="G41" s="267"/>
      <c r="H41" s="267"/>
      <c r="I41" s="284"/>
      <c r="J41" s="87"/>
      <c r="K41" s="87"/>
      <c r="L41" s="28"/>
      <c r="M41" s="90"/>
      <c r="N41" s="28"/>
    </row>
    <row r="42" spans="1:14" x14ac:dyDescent="0.25">
      <c r="A42" s="28"/>
      <c r="C42" s="263" t="s">
        <v>335</v>
      </c>
      <c r="D42" s="264"/>
      <c r="E42" s="264"/>
      <c r="F42" s="264"/>
      <c r="G42" s="264"/>
      <c r="H42" s="264"/>
      <c r="I42" s="264"/>
      <c r="J42" s="189"/>
      <c r="K42" s="189"/>
      <c r="L42" s="189"/>
      <c r="M42" s="90"/>
      <c r="N42" s="28"/>
    </row>
    <row r="43" spans="1:14" x14ac:dyDescent="0.25">
      <c r="A43" s="28"/>
      <c r="C43" s="264" t="s">
        <v>336</v>
      </c>
      <c r="D43" s="261"/>
      <c r="E43" s="261"/>
      <c r="F43" s="261"/>
      <c r="G43" s="261"/>
      <c r="H43" s="261"/>
      <c r="I43" s="265"/>
      <c r="J43" s="28"/>
      <c r="K43" s="28"/>
      <c r="L43" s="90"/>
      <c r="M43" s="28"/>
      <c r="N43" s="28"/>
    </row>
    <row r="44" spans="1:14" x14ac:dyDescent="0.25">
      <c r="A44" s="28"/>
      <c r="C44" s="281" t="s">
        <v>340</v>
      </c>
      <c r="D44" s="262"/>
      <c r="E44" s="262"/>
      <c r="F44" s="262"/>
      <c r="G44" s="262"/>
      <c r="H44" s="262"/>
      <c r="I44" s="262"/>
      <c r="J44" s="90"/>
      <c r="K44" s="90"/>
      <c r="L44" s="90"/>
      <c r="M44" s="28"/>
      <c r="N44" s="28"/>
    </row>
    <row r="45" spans="1:14" x14ac:dyDescent="0.25">
      <c r="C45" s="263" t="s">
        <v>316</v>
      </c>
      <c r="D45" s="262"/>
      <c r="E45" s="262"/>
      <c r="F45" s="262"/>
      <c r="G45" s="262"/>
      <c r="H45" s="262"/>
      <c r="I45" s="262"/>
      <c r="J45" s="90"/>
      <c r="K45" s="90"/>
      <c r="L45" s="90"/>
      <c r="M45" s="90"/>
      <c r="N45" s="28"/>
    </row>
    <row r="46" spans="1:14" x14ac:dyDescent="0.25">
      <c r="C46" s="264" t="s">
        <v>312</v>
      </c>
      <c r="D46" s="282"/>
      <c r="E46" s="282"/>
      <c r="F46" s="282"/>
      <c r="G46" s="282"/>
      <c r="H46" s="282"/>
      <c r="I46" s="282"/>
      <c r="J46" s="283"/>
      <c r="K46" s="283"/>
      <c r="L46" s="283"/>
      <c r="M46" s="90"/>
      <c r="N46" s="90"/>
    </row>
    <row r="47" spans="1:14" x14ac:dyDescent="0.25">
      <c r="C47" s="281" t="s">
        <v>343</v>
      </c>
      <c r="D47" s="262"/>
      <c r="E47" s="262"/>
      <c r="F47" s="262"/>
      <c r="G47" s="262"/>
      <c r="H47" s="262"/>
      <c r="I47" s="262"/>
      <c r="J47" s="90"/>
      <c r="K47" s="90"/>
      <c r="L47" s="90"/>
      <c r="M47" s="90"/>
      <c r="N47" s="90"/>
    </row>
    <row r="48" spans="1:14" x14ac:dyDescent="0.25">
      <c r="C48" s="264" t="s">
        <v>747</v>
      </c>
      <c r="D48" s="262"/>
      <c r="E48" s="262"/>
      <c r="F48" s="262"/>
      <c r="G48" s="262"/>
      <c r="H48" s="262"/>
      <c r="I48" s="262"/>
      <c r="J48" s="90"/>
      <c r="K48" s="90"/>
      <c r="L48" s="28"/>
      <c r="M48" s="90"/>
      <c r="N48" s="90"/>
    </row>
    <row r="49" spans="3:14" x14ac:dyDescent="0.25">
      <c r="C49" s="263" t="s">
        <v>318</v>
      </c>
      <c r="D49" s="282"/>
      <c r="E49" s="282"/>
      <c r="F49" s="282"/>
      <c r="G49" s="282"/>
      <c r="H49" s="282"/>
      <c r="I49" s="282"/>
      <c r="J49" s="283"/>
      <c r="K49" s="90"/>
      <c r="L49" s="90"/>
      <c r="M49" s="90"/>
      <c r="N49" s="90" t="s">
        <v>34</v>
      </c>
    </row>
    <row r="50" spans="3:14" x14ac:dyDescent="0.25">
      <c r="C50" s="263" t="s">
        <v>748</v>
      </c>
      <c r="D50" s="262"/>
      <c r="E50" s="262"/>
      <c r="F50" s="262"/>
      <c r="G50" s="262"/>
      <c r="H50" s="262"/>
      <c r="I50" s="262"/>
      <c r="J50" s="90"/>
      <c r="K50" s="90"/>
      <c r="L50" s="65"/>
      <c r="M50" s="90"/>
      <c r="N50" s="90"/>
    </row>
    <row r="51" spans="3:14" x14ac:dyDescent="0.25">
      <c r="C51" s="263" t="s">
        <v>319</v>
      </c>
      <c r="D51" s="262"/>
      <c r="E51" s="262"/>
      <c r="F51" s="262"/>
      <c r="G51" s="262"/>
      <c r="H51" s="262"/>
      <c r="I51" s="262"/>
      <c r="J51" s="90"/>
      <c r="K51" s="90"/>
      <c r="L51" s="90"/>
      <c r="M51" s="90"/>
      <c r="N51" s="90"/>
    </row>
    <row r="52" spans="3:14" x14ac:dyDescent="0.25">
      <c r="C52" s="262"/>
      <c r="D52" s="261"/>
      <c r="E52" s="261"/>
      <c r="F52" s="261"/>
      <c r="G52" s="261"/>
      <c r="H52" s="261"/>
      <c r="I52" s="265"/>
      <c r="J52" s="28"/>
      <c r="K52" s="90"/>
      <c r="L52" s="90"/>
      <c r="M52" s="90"/>
      <c r="N52" s="90"/>
    </row>
    <row r="53" spans="3:14" x14ac:dyDescent="0.25">
      <c r="C53" s="264" t="s">
        <v>734</v>
      </c>
      <c r="D53" s="262"/>
      <c r="E53" s="262"/>
      <c r="F53" s="262"/>
      <c r="G53" s="262"/>
      <c r="H53" s="262"/>
      <c r="I53" s="262"/>
      <c r="J53" s="90"/>
      <c r="K53" s="90"/>
      <c r="L53" s="90"/>
      <c r="M53" s="90"/>
      <c r="N53" s="90"/>
    </row>
    <row r="54" spans="3:14" x14ac:dyDescent="0.25">
      <c r="C54" s="264" t="s">
        <v>155</v>
      </c>
      <c r="D54" s="262"/>
      <c r="E54" s="262"/>
      <c r="F54" s="262"/>
      <c r="G54" s="262"/>
      <c r="H54" s="262"/>
      <c r="I54" s="262"/>
      <c r="J54" s="90"/>
      <c r="K54" s="90"/>
      <c r="L54" s="90"/>
      <c r="M54" s="90"/>
      <c r="N54" s="90"/>
    </row>
    <row r="55" spans="3:14" x14ac:dyDescent="0.25">
      <c r="C55" s="263" t="s">
        <v>157</v>
      </c>
      <c r="D55" s="264"/>
      <c r="E55" s="264"/>
      <c r="F55" s="264"/>
      <c r="G55" s="264"/>
      <c r="H55" s="264"/>
      <c r="I55" s="264"/>
      <c r="J55" s="189"/>
      <c r="K55" s="189"/>
      <c r="L55" s="90"/>
      <c r="M55" s="90"/>
      <c r="N55" s="90"/>
    </row>
    <row r="56" spans="3:14" x14ac:dyDescent="0.25">
      <c r="C56" s="41"/>
      <c r="D56" s="41"/>
      <c r="E56" s="41"/>
      <c r="F56" s="41"/>
      <c r="G56" s="41"/>
      <c r="H56" s="41"/>
      <c r="I56" s="41"/>
      <c r="J56" s="41"/>
      <c r="K56" s="41"/>
    </row>
    <row r="57" spans="3:14" x14ac:dyDescent="0.25">
      <c r="C57" s="28"/>
      <c r="D57" s="28"/>
      <c r="E57" s="28"/>
      <c r="F57" s="28"/>
      <c r="G57" s="28"/>
      <c r="H57" s="29"/>
      <c r="I57" s="28"/>
      <c r="J57" s="41"/>
      <c r="K57" s="28"/>
    </row>
  </sheetData>
  <pageMargins left="0.7" right="0.7" top="0.75" bottom="0.75" header="0.3" footer="0.3"/>
  <pageSetup scale="58" orientation="landscape" verticalDpi="597" r:id="rId1"/>
  <drawing r:id="rId2"/>
  <legacyDrawing r:id="rId3"/>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pageSetUpPr fitToPage="1"/>
  </sheetPr>
  <dimension ref="A6:S57"/>
  <sheetViews>
    <sheetView zoomScale="90" zoomScaleNormal="90" workbookViewId="0"/>
  </sheetViews>
  <sheetFormatPr defaultRowHeight="15" x14ac:dyDescent="0.25"/>
  <cols>
    <col min="2" max="2" width="10.7109375" bestFit="1"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41037</v>
      </c>
    </row>
    <row r="8" spans="1:15" x14ac:dyDescent="0.25">
      <c r="A8" s="28" t="s">
        <v>14</v>
      </c>
      <c r="B8" s="28">
        <v>28</v>
      </c>
      <c r="C8" s="28" t="s">
        <v>471</v>
      </c>
      <c r="D8" s="28"/>
      <c r="E8" s="28"/>
      <c r="F8" s="28"/>
      <c r="G8" s="28"/>
      <c r="H8" s="28"/>
      <c r="I8" s="29"/>
      <c r="J8" s="28"/>
      <c r="K8" s="28" t="s">
        <v>34</v>
      </c>
      <c r="L8" s="28" t="s">
        <v>34</v>
      </c>
      <c r="M8" s="28"/>
      <c r="N8" s="28"/>
    </row>
    <row r="9" spans="1:15" x14ac:dyDescent="0.25">
      <c r="A9" s="28" t="s">
        <v>15</v>
      </c>
      <c r="B9" s="28">
        <v>1</v>
      </c>
      <c r="C9" s="19" t="s">
        <v>387</v>
      </c>
      <c r="D9" s="28"/>
      <c r="E9" s="28"/>
      <c r="F9" s="28"/>
      <c r="G9" s="28"/>
      <c r="H9" s="28"/>
      <c r="I9" s="29"/>
      <c r="J9" s="28"/>
      <c r="K9" s="19" t="s">
        <v>720</v>
      </c>
      <c r="L9" s="28">
        <f>B19</f>
        <v>3.1</v>
      </c>
      <c r="M9" s="28"/>
      <c r="N9" s="28"/>
    </row>
    <row r="10" spans="1:15" x14ac:dyDescent="0.25">
      <c r="A10" s="28" t="s">
        <v>16</v>
      </c>
      <c r="B10" s="31">
        <v>2000</v>
      </c>
      <c r="C10" s="31" t="s">
        <v>721</v>
      </c>
      <c r="D10" s="28"/>
      <c r="E10" s="28"/>
      <c r="F10" s="28"/>
      <c r="G10" s="28"/>
      <c r="H10" s="28"/>
      <c r="I10" s="29" t="s">
        <v>34</v>
      </c>
      <c r="J10" s="28" t="s">
        <v>34</v>
      </c>
      <c r="K10" s="28" t="s">
        <v>34</v>
      </c>
      <c r="L10" s="28" t="s">
        <v>34</v>
      </c>
      <c r="M10" s="28" t="s">
        <v>34</v>
      </c>
      <c r="N10" s="28" t="s">
        <v>34</v>
      </c>
    </row>
    <row r="11" spans="1:15" x14ac:dyDescent="0.25">
      <c r="A11" s="28"/>
      <c r="B11" s="238">
        <v>200000000</v>
      </c>
      <c r="C11" s="31" t="s">
        <v>717</v>
      </c>
      <c r="D11" s="28"/>
      <c r="E11" s="28"/>
      <c r="F11" s="28"/>
      <c r="G11" s="28"/>
      <c r="H11" s="28"/>
      <c r="I11" s="29"/>
      <c r="J11" s="28"/>
      <c r="K11" s="28" t="s">
        <v>34</v>
      </c>
      <c r="L11" s="28"/>
      <c r="M11" s="28"/>
      <c r="N11" s="28"/>
    </row>
    <row r="12" spans="1:15" x14ac:dyDescent="0.25">
      <c r="A12" s="28"/>
      <c r="B12" s="31">
        <v>95</v>
      </c>
      <c r="C12" s="31" t="s">
        <v>701</v>
      </c>
      <c r="D12" s="28"/>
      <c r="E12" s="28"/>
      <c r="F12" s="28"/>
      <c r="G12" s="28"/>
      <c r="H12" s="28"/>
      <c r="I12" s="29"/>
      <c r="J12" s="28"/>
      <c r="K12" s="28"/>
      <c r="L12" s="28"/>
      <c r="M12" s="28"/>
      <c r="N12" s="28"/>
    </row>
    <row r="13" spans="1:15" x14ac:dyDescent="0.25">
      <c r="A13" s="28"/>
      <c r="B13" s="244">
        <v>6</v>
      </c>
      <c r="C13" s="28" t="s">
        <v>697</v>
      </c>
      <c r="D13" s="28"/>
      <c r="E13" s="28"/>
      <c r="F13" s="28"/>
      <c r="G13" s="28"/>
      <c r="H13" s="28"/>
      <c r="I13" s="251"/>
      <c r="J13" s="28"/>
      <c r="K13" s="28"/>
      <c r="L13" s="28"/>
      <c r="M13" s="28"/>
      <c r="N13" s="28"/>
    </row>
    <row r="14" spans="1:15" x14ac:dyDescent="0.25">
      <c r="A14" s="28"/>
      <c r="B14" s="244">
        <v>100</v>
      </c>
      <c r="C14" s="87" t="s">
        <v>696</v>
      </c>
      <c r="D14" s="28"/>
      <c r="E14" s="28"/>
      <c r="F14" s="28"/>
      <c r="G14" s="28"/>
      <c r="H14" s="28"/>
      <c r="I14" s="251"/>
      <c r="J14" s="28"/>
      <c r="K14" s="28"/>
      <c r="L14" s="28"/>
      <c r="M14" s="28"/>
      <c r="N14" s="28"/>
    </row>
    <row r="15" spans="1:15" x14ac:dyDescent="0.25">
      <c r="A15" s="28"/>
      <c r="B15" s="244">
        <v>0</v>
      </c>
      <c r="C15" s="87" t="s">
        <v>698</v>
      </c>
      <c r="D15" s="28"/>
      <c r="E15" s="28"/>
      <c r="F15" s="28"/>
      <c r="G15" s="28"/>
      <c r="H15" s="28"/>
      <c r="I15" s="251"/>
      <c r="J15" s="28"/>
      <c r="K15" s="28"/>
      <c r="L15" s="28"/>
      <c r="M15" s="28"/>
      <c r="N15" s="28"/>
    </row>
    <row r="16" spans="1:15" x14ac:dyDescent="0.25">
      <c r="A16" s="28"/>
      <c r="B16" s="245">
        <f>(B12*B13/100*1000)/(B10+B12-B14+B15)*1000</f>
        <v>2857.1428571428573</v>
      </c>
      <c r="C16" s="28" t="s">
        <v>700</v>
      </c>
      <c r="D16" s="28"/>
      <c r="E16" s="28"/>
      <c r="F16" s="28"/>
      <c r="G16" s="28"/>
      <c r="H16" s="28"/>
      <c r="I16" s="251"/>
      <c r="J16" s="28"/>
      <c r="K16" s="28"/>
      <c r="L16" s="28"/>
      <c r="M16" s="28"/>
      <c r="N16" s="28"/>
    </row>
    <row r="17" spans="1:19" ht="15.75" thickBot="1" x14ac:dyDescent="0.3">
      <c r="A17" s="28"/>
      <c r="B17" s="28" t="s">
        <v>647</v>
      </c>
      <c r="C17" s="28"/>
      <c r="D17" s="28"/>
      <c r="E17" s="28"/>
      <c r="F17" s="28"/>
      <c r="G17" s="28"/>
      <c r="H17" s="28"/>
      <c r="I17" s="29"/>
      <c r="J17" s="28"/>
      <c r="K17" s="28"/>
      <c r="L17" s="28"/>
      <c r="M17" s="28"/>
      <c r="N17" s="28"/>
    </row>
    <row r="18" spans="1:19" ht="90" thickBot="1" x14ac:dyDescent="0.3">
      <c r="A18" s="10" t="s">
        <v>29</v>
      </c>
      <c r="B18" s="11" t="s">
        <v>17</v>
      </c>
      <c r="C18" s="11" t="s">
        <v>30</v>
      </c>
      <c r="D18" s="11" t="s">
        <v>31</v>
      </c>
      <c r="E18" s="11" t="s">
        <v>32</v>
      </c>
      <c r="F18" s="11" t="s">
        <v>351</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3.1</v>
      </c>
      <c r="C19" s="23">
        <v>9.15</v>
      </c>
      <c r="D19" s="23">
        <v>9.14</v>
      </c>
      <c r="E19" s="23">
        <v>1.9</v>
      </c>
      <c r="F19" s="23">
        <v>2</v>
      </c>
      <c r="G19" s="23">
        <v>800</v>
      </c>
      <c r="H19" s="23">
        <v>3600</v>
      </c>
      <c r="I19" s="33">
        <v>15000000</v>
      </c>
      <c r="J19" s="125">
        <f>LOG(I$19)-LOG(I19)</f>
        <v>0</v>
      </c>
      <c r="K19" s="33">
        <v>74000000</v>
      </c>
      <c r="L19" s="23" t="s">
        <v>26</v>
      </c>
      <c r="M19" s="34"/>
      <c r="N19" s="34"/>
      <c r="O19" s="35"/>
      <c r="P19" s="233">
        <f>B$16*A19</f>
        <v>0</v>
      </c>
      <c r="Q19" s="233">
        <f>6/LINEST(J19:J21,P19:P21,FALSE)</f>
        <v>41755.533112805686</v>
      </c>
      <c r="R19" s="233">
        <f>Q19/3000</f>
        <v>13.918511037601895</v>
      </c>
      <c r="S19" s="233">
        <f>(J27/LINEST($J19:$J21,$P19:$P21,FALSE))/$B$16</f>
        <v>17.464251724430977</v>
      </c>
    </row>
    <row r="20" spans="1:19" ht="15.75" thickBot="1" x14ac:dyDescent="0.3">
      <c r="A20" s="32">
        <v>3</v>
      </c>
      <c r="B20" s="24">
        <v>4.5</v>
      </c>
      <c r="C20" s="24">
        <v>9.0500000000000007</v>
      </c>
      <c r="D20" s="24">
        <v>10.07</v>
      </c>
      <c r="E20" s="24">
        <v>2500</v>
      </c>
      <c r="F20" s="24">
        <v>1.7</v>
      </c>
      <c r="G20" s="24">
        <v>700</v>
      </c>
      <c r="H20" s="24">
        <v>3430</v>
      </c>
      <c r="I20" s="33">
        <v>4800000</v>
      </c>
      <c r="J20" s="125">
        <f>LOG(I$19)-LOG(I20)</f>
        <v>0.49485002168009373</v>
      </c>
      <c r="K20" s="33">
        <v>5050000</v>
      </c>
      <c r="L20" s="24">
        <v>1.1599999999999999</v>
      </c>
      <c r="M20" s="35"/>
      <c r="N20" s="35"/>
      <c r="O20" s="35"/>
      <c r="P20" s="233">
        <f>B$16*A20</f>
        <v>8571.4285714285725</v>
      </c>
    </row>
    <row r="21" spans="1:19" ht="15.75" thickBot="1" x14ac:dyDescent="0.3">
      <c r="A21" s="32">
        <v>5</v>
      </c>
      <c r="B21" s="24">
        <v>4.8</v>
      </c>
      <c r="C21" s="24">
        <v>9.1</v>
      </c>
      <c r="D21" s="24">
        <v>10.11</v>
      </c>
      <c r="E21" s="24">
        <v>2500</v>
      </c>
      <c r="F21" s="24">
        <v>2.5</v>
      </c>
      <c r="G21" s="24">
        <v>700</v>
      </c>
      <c r="H21" s="24"/>
      <c r="I21" s="33">
        <v>48000</v>
      </c>
      <c r="J21" s="125">
        <f>LOG(I$19)-LOG(I21)</f>
        <v>2.4948500216800937</v>
      </c>
      <c r="K21" s="33">
        <v>600</v>
      </c>
      <c r="L21" s="24">
        <v>5.0999999999999996</v>
      </c>
      <c r="M21" s="35"/>
      <c r="N21" s="35"/>
      <c r="O21" s="35"/>
      <c r="P21" s="233">
        <f>B$16*A21</f>
        <v>14285.714285714286</v>
      </c>
    </row>
    <row r="22" spans="1:19" ht="15.75" thickBot="1" x14ac:dyDescent="0.3">
      <c r="A22" s="32">
        <v>10</v>
      </c>
      <c r="B22" s="24">
        <v>5.2</v>
      </c>
      <c r="C22" s="24">
        <v>9.17</v>
      </c>
      <c r="D22" s="24">
        <v>9.9600000000000009</v>
      </c>
      <c r="E22" s="24">
        <v>2700</v>
      </c>
      <c r="F22" s="24">
        <v>2.2000000000000002</v>
      </c>
      <c r="G22" s="24">
        <v>700</v>
      </c>
      <c r="H22" s="24"/>
      <c r="I22" s="33">
        <v>0</v>
      </c>
      <c r="J22" s="24" t="s">
        <v>320</v>
      </c>
      <c r="K22" s="33">
        <v>0</v>
      </c>
      <c r="L22" s="24" t="s">
        <v>196</v>
      </c>
      <c r="M22" s="35"/>
      <c r="N22" s="35"/>
      <c r="O22" s="35"/>
      <c r="P22" s="233"/>
    </row>
    <row r="23" spans="1:19" ht="15.75" thickBot="1" x14ac:dyDescent="0.3">
      <c r="A23" s="32">
        <v>15</v>
      </c>
      <c r="B23" s="24">
        <v>5.6</v>
      </c>
      <c r="C23" s="24">
        <v>9.19</v>
      </c>
      <c r="D23" s="24">
        <v>10.09</v>
      </c>
      <c r="E23" s="24">
        <v>2800</v>
      </c>
      <c r="F23" s="24">
        <v>3.3</v>
      </c>
      <c r="G23" s="24">
        <v>700</v>
      </c>
      <c r="H23" s="24"/>
      <c r="I23" s="33">
        <v>0</v>
      </c>
      <c r="J23" s="24" t="s">
        <v>320</v>
      </c>
      <c r="K23" s="33">
        <v>0</v>
      </c>
      <c r="L23" s="24" t="s">
        <v>196</v>
      </c>
      <c r="M23" s="35"/>
      <c r="N23" s="35"/>
      <c r="O23" s="35"/>
      <c r="P23" s="233"/>
    </row>
    <row r="24" spans="1:19" ht="15.75" thickBot="1" x14ac:dyDescent="0.3">
      <c r="A24" s="32">
        <v>30</v>
      </c>
      <c r="B24" s="24">
        <v>5.5</v>
      </c>
      <c r="C24" s="24">
        <v>9.17</v>
      </c>
      <c r="D24" s="24">
        <v>10.11</v>
      </c>
      <c r="E24" s="24">
        <v>2600</v>
      </c>
      <c r="F24" s="24">
        <v>2.4</v>
      </c>
      <c r="G24" s="24">
        <v>700</v>
      </c>
      <c r="H24" s="24"/>
      <c r="I24" s="33">
        <v>0</v>
      </c>
      <c r="J24" s="24" t="s">
        <v>321</v>
      </c>
      <c r="K24" s="33">
        <v>0</v>
      </c>
      <c r="L24" s="24" t="s">
        <v>196</v>
      </c>
      <c r="M24" s="36"/>
      <c r="N24" s="36"/>
      <c r="O24" s="35"/>
      <c r="P24" s="233"/>
    </row>
    <row r="25" spans="1:19" ht="15.75" thickBot="1" x14ac:dyDescent="0.3">
      <c r="A25" s="32">
        <v>60</v>
      </c>
      <c r="B25" s="24">
        <v>6</v>
      </c>
      <c r="C25" s="24">
        <v>9.2899999999999991</v>
      </c>
      <c r="D25" s="24">
        <v>10.199999999999999</v>
      </c>
      <c r="E25" s="24">
        <v>2400</v>
      </c>
      <c r="F25" s="58">
        <v>2</v>
      </c>
      <c r="G25" s="24">
        <v>700</v>
      </c>
      <c r="H25" s="24">
        <v>3420</v>
      </c>
      <c r="I25" s="33">
        <v>0</v>
      </c>
      <c r="J25" s="24" t="s">
        <v>321</v>
      </c>
      <c r="K25" s="33">
        <v>0</v>
      </c>
      <c r="L25" s="24" t="s">
        <v>196</v>
      </c>
      <c r="M25" s="36">
        <v>400</v>
      </c>
      <c r="N25" s="36">
        <v>13774</v>
      </c>
      <c r="O25" s="89">
        <v>6060</v>
      </c>
      <c r="P25" s="233"/>
    </row>
    <row r="26" spans="1:19" ht="15.75" thickBot="1" x14ac:dyDescent="0.3">
      <c r="A26" s="86" t="s">
        <v>242</v>
      </c>
      <c r="B26" s="36">
        <v>6.1</v>
      </c>
      <c r="C26" s="36">
        <v>9.2799999999999994</v>
      </c>
      <c r="D26" s="36">
        <v>10.18</v>
      </c>
      <c r="E26" s="36">
        <v>2600</v>
      </c>
      <c r="F26" s="36">
        <v>2.9</v>
      </c>
      <c r="G26" s="36">
        <v>700</v>
      </c>
      <c r="H26" s="36">
        <v>3370</v>
      </c>
      <c r="I26" s="33">
        <v>0</v>
      </c>
      <c r="J26" s="24" t="s">
        <v>320</v>
      </c>
      <c r="K26" s="33">
        <v>0</v>
      </c>
      <c r="L26" s="24" t="s">
        <v>196</v>
      </c>
      <c r="M26" s="36">
        <v>390</v>
      </c>
      <c r="N26" s="36">
        <v>14068</v>
      </c>
      <c r="O26" s="35"/>
    </row>
    <row r="27" spans="1:19" x14ac:dyDescent="0.25">
      <c r="B27">
        <f>AVERAGE(B20:B21)</f>
        <v>4.6500000000000004</v>
      </c>
      <c r="C27">
        <f>AVERAGE(C20:C21)</f>
        <v>9.0749999999999993</v>
      </c>
      <c r="J27">
        <v>7.17</v>
      </c>
      <c r="N27" s="28"/>
    </row>
    <row r="28" spans="1:19" x14ac:dyDescent="0.25">
      <c r="A28" s="28" t="s">
        <v>140</v>
      </c>
      <c r="B28" s="28"/>
      <c r="C28" s="28"/>
      <c r="D28" s="28"/>
      <c r="E28" s="28"/>
      <c r="F28" s="28"/>
      <c r="G28" s="28"/>
      <c r="H28" s="28"/>
      <c r="I28" s="29"/>
      <c r="J28" s="28"/>
      <c r="K28" s="28"/>
      <c r="L28" s="28"/>
      <c r="M28" s="28"/>
      <c r="N28" s="28"/>
    </row>
    <row r="29" spans="1:19" x14ac:dyDescent="0.25">
      <c r="A29" s="28"/>
      <c r="B29" s="28" t="s">
        <v>141</v>
      </c>
      <c r="C29" s="28"/>
      <c r="D29" s="28"/>
      <c r="E29" s="28"/>
      <c r="F29" s="28"/>
      <c r="G29" s="28"/>
      <c r="H29" s="28"/>
      <c r="I29" s="29"/>
      <c r="J29" s="28"/>
      <c r="K29" s="28" t="s">
        <v>34</v>
      </c>
      <c r="L29" s="28" t="s">
        <v>34</v>
      </c>
      <c r="M29" s="28" t="s">
        <v>34</v>
      </c>
      <c r="N29" s="28" t="s">
        <v>34</v>
      </c>
    </row>
    <row r="30" spans="1:19" x14ac:dyDescent="0.25">
      <c r="A30" s="28" t="s">
        <v>272</v>
      </c>
      <c r="B30" s="28"/>
      <c r="C30" s="28"/>
      <c r="D30" s="28"/>
      <c r="E30" s="28"/>
      <c r="F30" s="28"/>
      <c r="G30" s="28"/>
      <c r="H30" s="28"/>
      <c r="I30" s="29"/>
      <c r="J30" s="28"/>
      <c r="K30" s="28" t="s">
        <v>34</v>
      </c>
      <c r="L30" s="28" t="s">
        <v>34</v>
      </c>
      <c r="M30" s="28"/>
      <c r="N30" s="28"/>
    </row>
    <row r="31" spans="1:19" x14ac:dyDescent="0.25">
      <c r="A31" s="59" t="s">
        <v>310</v>
      </c>
      <c r="F31" s="28"/>
      <c r="G31" s="28"/>
      <c r="H31" s="28"/>
      <c r="I31" s="29"/>
      <c r="J31" s="28"/>
      <c r="K31" s="28" t="s">
        <v>34</v>
      </c>
      <c r="L31" s="28" t="s">
        <v>34</v>
      </c>
      <c r="M31" s="28" t="s">
        <v>34</v>
      </c>
      <c r="N31" s="28"/>
    </row>
    <row r="32" spans="1:19" x14ac:dyDescent="0.25">
      <c r="A32" s="59"/>
      <c r="F32" s="28"/>
      <c r="G32" s="28"/>
      <c r="H32" s="28"/>
      <c r="I32" s="29"/>
      <c r="J32" s="28"/>
      <c r="K32" s="28"/>
      <c r="L32" s="28"/>
      <c r="M32" s="28"/>
      <c r="N32" s="28"/>
    </row>
    <row r="33" spans="1:14" x14ac:dyDescent="0.25">
      <c r="A33" s="260" t="s">
        <v>28</v>
      </c>
      <c r="B33" s="261"/>
      <c r="C33" s="264" t="s">
        <v>749</v>
      </c>
      <c r="D33" s="261"/>
      <c r="E33" s="28"/>
      <c r="F33" s="28"/>
      <c r="G33" s="28"/>
      <c r="H33" s="28"/>
      <c r="I33" s="29"/>
      <c r="J33" s="28"/>
      <c r="K33" s="28" t="s">
        <v>34</v>
      </c>
      <c r="L33" s="28" t="s">
        <v>34</v>
      </c>
      <c r="M33" s="28" t="s">
        <v>34</v>
      </c>
      <c r="N33" s="28"/>
    </row>
    <row r="34" spans="1:14" x14ac:dyDescent="0.25">
      <c r="A34" s="261"/>
      <c r="B34" s="263"/>
      <c r="C34" s="264"/>
      <c r="D34" s="261"/>
      <c r="E34" s="28"/>
      <c r="F34" s="28"/>
      <c r="G34" s="28"/>
      <c r="H34" s="28"/>
      <c r="I34" s="29"/>
      <c r="J34" s="28"/>
      <c r="K34" s="28"/>
      <c r="L34" s="28" t="s">
        <v>34</v>
      </c>
      <c r="M34" s="28" t="s">
        <v>34</v>
      </c>
      <c r="N34" s="28"/>
    </row>
    <row r="35" spans="1:14" x14ac:dyDescent="0.25">
      <c r="A35" s="261"/>
      <c r="B35" s="262"/>
      <c r="C35" s="263" t="s">
        <v>146</v>
      </c>
      <c r="D35" s="264"/>
      <c r="E35" s="41"/>
      <c r="F35" s="41"/>
      <c r="G35" s="41"/>
      <c r="H35" s="41"/>
      <c r="I35" s="41"/>
      <c r="J35" s="41"/>
      <c r="K35" s="41"/>
      <c r="L35" s="41" t="s">
        <v>34</v>
      </c>
      <c r="M35" s="28"/>
      <c r="N35" s="28"/>
    </row>
    <row r="36" spans="1:14" x14ac:dyDescent="0.25">
      <c r="A36" s="261"/>
      <c r="B36" s="262"/>
      <c r="C36" s="264" t="s">
        <v>302</v>
      </c>
      <c r="D36" s="264"/>
      <c r="E36" s="41"/>
      <c r="F36" s="41"/>
      <c r="G36" s="41"/>
      <c r="H36" s="41"/>
      <c r="I36" s="41"/>
      <c r="J36" s="41"/>
      <c r="K36" s="41"/>
      <c r="L36" s="41"/>
      <c r="M36" s="28"/>
      <c r="N36" s="28"/>
    </row>
    <row r="37" spans="1:14" x14ac:dyDescent="0.25">
      <c r="A37" s="261"/>
      <c r="B37" s="262"/>
      <c r="C37" s="264" t="s">
        <v>303</v>
      </c>
      <c r="D37" s="261"/>
      <c r="E37" s="28"/>
      <c r="F37" s="28"/>
      <c r="G37" s="28"/>
      <c r="H37" s="28"/>
      <c r="I37" s="29"/>
      <c r="J37" s="28"/>
      <c r="K37" s="28"/>
      <c r="L37" s="28"/>
      <c r="M37" s="28" t="s">
        <v>34</v>
      </c>
      <c r="N37" s="28"/>
    </row>
    <row r="38" spans="1:14" x14ac:dyDescent="0.25">
      <c r="A38" s="261"/>
      <c r="B38" s="262"/>
      <c r="C38" s="264" t="s">
        <v>304</v>
      </c>
      <c r="D38" s="264"/>
      <c r="E38" s="41"/>
      <c r="F38" s="41"/>
      <c r="G38" s="41"/>
      <c r="H38" s="41"/>
      <c r="I38" s="41"/>
      <c r="J38" s="41"/>
      <c r="K38" s="41"/>
      <c r="L38" s="41"/>
      <c r="M38" s="28"/>
      <c r="N38" s="28"/>
    </row>
    <row r="39" spans="1:14" x14ac:dyDescent="0.25">
      <c r="A39" s="261"/>
      <c r="B39" s="262"/>
      <c r="C39" s="266" t="s">
        <v>156</v>
      </c>
      <c r="D39" s="264"/>
      <c r="E39" s="41"/>
      <c r="F39" s="41"/>
      <c r="G39" s="41"/>
      <c r="H39" s="41"/>
      <c r="I39" s="41"/>
      <c r="J39" s="41"/>
      <c r="K39" s="41"/>
      <c r="L39" s="41"/>
      <c r="M39" s="28"/>
      <c r="N39" s="28"/>
    </row>
    <row r="40" spans="1:14" x14ac:dyDescent="0.25">
      <c r="A40" s="261"/>
      <c r="B40" s="262"/>
      <c r="C40" s="264" t="s">
        <v>352</v>
      </c>
      <c r="D40" s="262"/>
      <c r="M40" s="28"/>
      <c r="N40" s="28"/>
    </row>
    <row r="41" spans="1:14" x14ac:dyDescent="0.25">
      <c r="A41" s="261"/>
      <c r="B41" s="262"/>
      <c r="C41" s="268" t="s">
        <v>36</v>
      </c>
      <c r="D41" s="267"/>
      <c r="E41" s="87"/>
      <c r="F41" s="87"/>
      <c r="G41" s="87"/>
      <c r="H41" s="87"/>
      <c r="I41" s="88"/>
      <c r="J41" s="87"/>
      <c r="K41" s="87"/>
      <c r="L41" s="28"/>
      <c r="N41" s="28"/>
    </row>
    <row r="42" spans="1:14" x14ac:dyDescent="0.25">
      <c r="A42" s="261"/>
      <c r="B42" s="262"/>
      <c r="C42" s="263" t="s">
        <v>337</v>
      </c>
      <c r="D42" s="264"/>
      <c r="E42" s="41"/>
      <c r="F42" s="41"/>
      <c r="G42" s="41"/>
      <c r="H42" s="41"/>
      <c r="I42" s="41"/>
      <c r="J42" s="41"/>
      <c r="K42" s="41"/>
      <c r="L42" s="41"/>
      <c r="N42" s="28"/>
    </row>
    <row r="43" spans="1:14" x14ac:dyDescent="0.25">
      <c r="A43" s="261"/>
      <c r="B43" s="262"/>
      <c r="C43" s="264" t="s">
        <v>336</v>
      </c>
      <c r="D43" s="261"/>
      <c r="E43" s="28"/>
      <c r="F43" s="28"/>
      <c r="G43" s="28"/>
      <c r="H43" s="28"/>
      <c r="I43" s="29"/>
      <c r="J43" s="28"/>
      <c r="K43" s="28"/>
      <c r="M43" s="28"/>
      <c r="N43" s="28"/>
    </row>
    <row r="44" spans="1:14" x14ac:dyDescent="0.25">
      <c r="A44" s="261"/>
      <c r="B44" s="262"/>
      <c r="C44" s="281" t="s">
        <v>340</v>
      </c>
      <c r="D44" s="262"/>
      <c r="M44" s="28"/>
      <c r="N44" s="28"/>
    </row>
    <row r="45" spans="1:14" x14ac:dyDescent="0.25">
      <c r="A45" s="262"/>
      <c r="B45" s="262"/>
      <c r="C45" s="263" t="s">
        <v>322</v>
      </c>
      <c r="D45" s="262"/>
      <c r="N45" s="28"/>
    </row>
    <row r="46" spans="1:14" x14ac:dyDescent="0.25">
      <c r="A46" s="262"/>
      <c r="B46" s="262"/>
      <c r="C46" s="264" t="s">
        <v>353</v>
      </c>
      <c r="D46" s="282"/>
      <c r="E46" s="72"/>
      <c r="F46" s="72"/>
      <c r="G46" s="72"/>
      <c r="H46" s="72"/>
      <c r="I46" s="72"/>
      <c r="J46" s="72"/>
      <c r="K46" s="72"/>
      <c r="L46" s="72"/>
    </row>
    <row r="47" spans="1:14" x14ac:dyDescent="0.25">
      <c r="A47" s="262"/>
      <c r="B47" s="262"/>
      <c r="C47" s="262"/>
      <c r="D47" s="262"/>
    </row>
    <row r="48" spans="1:14" x14ac:dyDescent="0.25">
      <c r="A48" s="262"/>
      <c r="B48" s="262"/>
      <c r="C48" s="264" t="s">
        <v>747</v>
      </c>
      <c r="D48" s="262"/>
      <c r="L48" s="28"/>
    </row>
    <row r="49" spans="1:15" x14ac:dyDescent="0.25">
      <c r="A49" s="262"/>
      <c r="B49" s="262"/>
      <c r="C49" s="263" t="s">
        <v>323</v>
      </c>
      <c r="D49" s="262"/>
      <c r="N49" t="s">
        <v>34</v>
      </c>
    </row>
    <row r="50" spans="1:15" x14ac:dyDescent="0.25">
      <c r="A50" s="262"/>
      <c r="B50" s="262"/>
      <c r="C50" s="263" t="s">
        <v>750</v>
      </c>
      <c r="D50" s="262"/>
      <c r="E50" s="64"/>
      <c r="F50" s="64"/>
      <c r="G50" s="64"/>
      <c r="H50" s="64"/>
      <c r="I50" s="64"/>
      <c r="J50" s="64"/>
      <c r="K50" s="64"/>
      <c r="L50" s="65"/>
      <c r="O50" t="s">
        <v>34</v>
      </c>
    </row>
    <row r="51" spans="1:15" x14ac:dyDescent="0.25">
      <c r="A51" s="262"/>
      <c r="B51" s="262"/>
      <c r="C51" s="263" t="s">
        <v>324</v>
      </c>
      <c r="D51" s="262"/>
    </row>
    <row r="52" spans="1:15" x14ac:dyDescent="0.25">
      <c r="A52" s="262"/>
      <c r="B52" s="262"/>
      <c r="C52" s="262"/>
      <c r="D52" s="261"/>
      <c r="E52" s="28"/>
      <c r="F52" s="28"/>
      <c r="G52" s="28"/>
      <c r="H52" s="28"/>
      <c r="I52" s="29"/>
      <c r="J52" s="28"/>
    </row>
    <row r="53" spans="1:15" x14ac:dyDescent="0.25">
      <c r="A53" s="262"/>
      <c r="B53" s="262"/>
      <c r="C53" s="264" t="s">
        <v>734</v>
      </c>
      <c r="D53" s="262"/>
    </row>
    <row r="54" spans="1:15" x14ac:dyDescent="0.25">
      <c r="A54" s="262"/>
      <c r="B54" s="262"/>
      <c r="C54" s="264" t="s">
        <v>155</v>
      </c>
      <c r="D54" s="262"/>
    </row>
    <row r="55" spans="1:15" x14ac:dyDescent="0.25">
      <c r="A55" s="262"/>
      <c r="B55" s="262"/>
      <c r="C55" s="263" t="s">
        <v>157</v>
      </c>
      <c r="D55" s="264"/>
      <c r="E55" s="41"/>
      <c r="F55" s="41"/>
      <c r="G55" s="41"/>
      <c r="H55" s="41"/>
      <c r="I55" s="41"/>
      <c r="J55" s="41"/>
      <c r="K55" s="41"/>
    </row>
    <row r="56" spans="1:15" x14ac:dyDescent="0.25">
      <c r="C56" s="41"/>
      <c r="D56" s="41"/>
      <c r="E56" s="41"/>
      <c r="F56" s="41"/>
      <c r="G56" s="41"/>
      <c r="H56" s="41"/>
      <c r="I56" s="41"/>
      <c r="J56" s="41"/>
      <c r="K56" s="41"/>
    </row>
    <row r="57" spans="1:15" x14ac:dyDescent="0.25">
      <c r="C57" s="28"/>
      <c r="D57" s="28"/>
      <c r="E57" s="28"/>
      <c r="F57" s="28"/>
      <c r="G57" s="28"/>
      <c r="H57" s="29"/>
      <c r="I57" s="28"/>
      <c r="J57" s="41"/>
      <c r="K57" s="28"/>
    </row>
  </sheetData>
  <pageMargins left="0.7" right="0.7" top="0.75" bottom="0.75" header="0.3" footer="0.3"/>
  <pageSetup scale="58" orientation="landscape" verticalDpi="597" r:id="rId1"/>
  <drawing r:id="rId2"/>
  <legacyDrawing r:id="rId3"/>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pageSetUpPr fitToPage="1"/>
  </sheetPr>
  <dimension ref="A6:S58"/>
  <sheetViews>
    <sheetView zoomScale="90" zoomScaleNormal="90" workbookViewId="0"/>
  </sheetViews>
  <sheetFormatPr defaultRowHeight="15" x14ac:dyDescent="0.25"/>
  <cols>
    <col min="2" max="2" width="11.28515625"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41039</v>
      </c>
    </row>
    <row r="8" spans="1:15" x14ac:dyDescent="0.25">
      <c r="A8" s="28" t="s">
        <v>14</v>
      </c>
      <c r="B8" s="28">
        <v>29</v>
      </c>
      <c r="C8" s="28" t="s">
        <v>470</v>
      </c>
      <c r="D8" s="28"/>
      <c r="E8" s="28"/>
      <c r="F8" s="28"/>
      <c r="G8" s="28"/>
      <c r="H8" s="28"/>
      <c r="I8" s="29"/>
      <c r="J8" s="28"/>
      <c r="K8" s="28" t="s">
        <v>34</v>
      </c>
      <c r="L8" s="28" t="s">
        <v>34</v>
      </c>
      <c r="M8" s="28"/>
      <c r="N8" s="28"/>
    </row>
    <row r="9" spans="1:15" x14ac:dyDescent="0.25">
      <c r="A9" s="28" t="s">
        <v>15</v>
      </c>
      <c r="B9" s="28">
        <v>1</v>
      </c>
      <c r="C9" s="19" t="s">
        <v>387</v>
      </c>
      <c r="D9" s="28"/>
      <c r="E9" s="28"/>
      <c r="F9" s="28"/>
      <c r="G9" s="28"/>
      <c r="H9" s="28"/>
      <c r="I9" s="29"/>
      <c r="J9" s="28"/>
      <c r="K9" s="28"/>
      <c r="L9" s="28"/>
      <c r="M9" s="28"/>
      <c r="N9" s="28"/>
    </row>
    <row r="10" spans="1:15" x14ac:dyDescent="0.25">
      <c r="A10" s="28" t="s">
        <v>16</v>
      </c>
      <c r="B10" s="31">
        <v>2000</v>
      </c>
      <c r="C10" s="31" t="s">
        <v>722</v>
      </c>
      <c r="D10" s="28"/>
      <c r="E10" s="28"/>
      <c r="F10" s="28"/>
      <c r="G10" s="28"/>
      <c r="H10" s="28"/>
      <c r="I10" s="29" t="s">
        <v>34</v>
      </c>
      <c r="J10" s="28" t="s">
        <v>34</v>
      </c>
      <c r="K10" s="28" t="s">
        <v>34</v>
      </c>
      <c r="L10" s="28" t="s">
        <v>34</v>
      </c>
      <c r="M10" s="28" t="s">
        <v>34</v>
      </c>
      <c r="N10" s="28" t="s">
        <v>34</v>
      </c>
    </row>
    <row r="11" spans="1:15" x14ac:dyDescent="0.25">
      <c r="A11" s="28"/>
      <c r="B11" s="238">
        <v>200000000</v>
      </c>
      <c r="C11" s="31" t="s">
        <v>717</v>
      </c>
      <c r="D11" s="28"/>
      <c r="E11" s="28"/>
      <c r="F11" s="28"/>
      <c r="G11" s="28"/>
      <c r="H11" s="28"/>
      <c r="I11" s="29"/>
      <c r="J11" s="28"/>
      <c r="K11" s="28" t="s">
        <v>34</v>
      </c>
      <c r="L11" s="28"/>
      <c r="M11" s="28"/>
      <c r="N11" s="28"/>
    </row>
    <row r="12" spans="1:15" x14ac:dyDescent="0.25">
      <c r="A12" s="28"/>
      <c r="B12" s="31">
        <v>95</v>
      </c>
      <c r="C12" s="31" t="s">
        <v>723</v>
      </c>
      <c r="D12" s="28"/>
      <c r="E12" s="28"/>
      <c r="F12" s="28"/>
      <c r="G12" s="28"/>
      <c r="H12" s="28"/>
      <c r="I12" s="29"/>
      <c r="J12" s="28"/>
      <c r="K12" s="28"/>
      <c r="L12" s="28"/>
      <c r="M12" s="28"/>
      <c r="N12" s="28"/>
    </row>
    <row r="13" spans="1:15" x14ac:dyDescent="0.25">
      <c r="A13" s="28"/>
      <c r="B13" s="244">
        <v>6</v>
      </c>
      <c r="C13" s="28" t="s">
        <v>697</v>
      </c>
      <c r="D13" s="28"/>
      <c r="E13" s="28"/>
      <c r="F13" s="28"/>
      <c r="G13" s="28"/>
      <c r="H13" s="28"/>
      <c r="I13" s="251"/>
      <c r="J13" s="28"/>
      <c r="K13" s="28"/>
      <c r="L13" s="28"/>
      <c r="M13" s="28"/>
      <c r="N13" s="28"/>
    </row>
    <row r="14" spans="1:15" x14ac:dyDescent="0.25">
      <c r="A14" s="28"/>
      <c r="B14" s="244">
        <v>100</v>
      </c>
      <c r="C14" s="87" t="s">
        <v>696</v>
      </c>
      <c r="D14" s="28"/>
      <c r="E14" s="28"/>
      <c r="F14" s="28"/>
      <c r="G14" s="28"/>
      <c r="H14" s="28"/>
      <c r="I14" s="251"/>
      <c r="J14" s="28"/>
      <c r="K14" s="28"/>
      <c r="L14" s="28"/>
      <c r="M14" s="28"/>
      <c r="N14" s="28"/>
    </row>
    <row r="15" spans="1:15" x14ac:dyDescent="0.25">
      <c r="A15" s="28"/>
      <c r="B15" s="244">
        <v>0</v>
      </c>
      <c r="C15" s="87" t="s">
        <v>698</v>
      </c>
      <c r="D15" s="28"/>
      <c r="E15" s="28"/>
      <c r="F15" s="28"/>
      <c r="G15" s="28"/>
      <c r="H15" s="28"/>
      <c r="I15" s="251"/>
      <c r="J15" s="28"/>
      <c r="K15" s="28"/>
      <c r="L15" s="28"/>
      <c r="M15" s="28"/>
      <c r="N15" s="28"/>
    </row>
    <row r="16" spans="1:15" x14ac:dyDescent="0.25">
      <c r="A16" s="28"/>
      <c r="B16" s="245">
        <f>(B12*B13/100*1000)/(B10+B12-B14+B15)*1000</f>
        <v>2857.1428571428573</v>
      </c>
      <c r="C16" s="28" t="s">
        <v>700</v>
      </c>
      <c r="D16" s="28"/>
      <c r="E16" s="28"/>
      <c r="F16" s="28"/>
      <c r="G16" s="28"/>
      <c r="H16" s="28"/>
      <c r="I16" s="251"/>
      <c r="J16" s="28"/>
      <c r="K16" s="28"/>
      <c r="L16" s="28"/>
      <c r="M16" s="28"/>
      <c r="N16" s="28"/>
    </row>
    <row r="17" spans="1:19" ht="15.75" thickBot="1" x14ac:dyDescent="0.3">
      <c r="A17" s="28"/>
      <c r="B17" s="28" t="s">
        <v>647</v>
      </c>
      <c r="C17" s="28"/>
      <c r="D17" s="28"/>
      <c r="E17" s="28"/>
      <c r="F17" s="28"/>
      <c r="G17" s="28"/>
      <c r="H17" s="28"/>
      <c r="I17" s="29"/>
      <c r="J17" s="28"/>
      <c r="K17" s="28"/>
      <c r="L17" s="28"/>
      <c r="M17" s="28"/>
      <c r="N17" s="28"/>
    </row>
    <row r="18" spans="1:19" ht="90" thickBot="1" x14ac:dyDescent="0.3">
      <c r="A18" s="10" t="s">
        <v>29</v>
      </c>
      <c r="B18" s="11" t="s">
        <v>17</v>
      </c>
      <c r="C18" s="11" t="s">
        <v>30</v>
      </c>
      <c r="D18" s="11" t="s">
        <v>31</v>
      </c>
      <c r="E18" s="11" t="s">
        <v>32</v>
      </c>
      <c r="F18" s="11" t="s">
        <v>351</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4.2</v>
      </c>
      <c r="C19" s="23">
        <v>9.31</v>
      </c>
      <c r="D19" s="23">
        <v>9.32</v>
      </c>
      <c r="E19" s="23">
        <v>1.5</v>
      </c>
      <c r="F19" s="91">
        <v>2.4</v>
      </c>
      <c r="G19" s="23">
        <v>800</v>
      </c>
      <c r="H19" s="23">
        <v>3260</v>
      </c>
      <c r="I19" s="33">
        <v>13000000</v>
      </c>
      <c r="J19" s="125">
        <f t="shared" ref="J19:J25" si="0">LOG(I$19)-LOG(I19)</f>
        <v>0</v>
      </c>
      <c r="K19" s="33">
        <v>74000000</v>
      </c>
      <c r="L19" s="23" t="s">
        <v>26</v>
      </c>
      <c r="M19" s="34"/>
      <c r="N19" s="34"/>
      <c r="O19" s="35"/>
      <c r="P19" s="233">
        <f>B$16*A19</f>
        <v>0</v>
      </c>
      <c r="Q19" s="233">
        <f>6/LINEST(J19:J25,P19:P25,FALSE)</f>
        <v>146055.43063176828</v>
      </c>
      <c r="R19" s="233">
        <f>Q19/3000</f>
        <v>48.685143543922763</v>
      </c>
      <c r="S19" s="233">
        <f>(J27/LINEST($J19:$J25,$P19:$P25,FALSE))/$B$16</f>
        <v>43.451490612951055</v>
      </c>
    </row>
    <row r="20" spans="1:19" ht="15.75" thickBot="1" x14ac:dyDescent="0.3">
      <c r="A20" s="32">
        <v>3</v>
      </c>
      <c r="B20" s="24">
        <v>4.7</v>
      </c>
      <c r="C20" s="24">
        <v>9.65</v>
      </c>
      <c r="D20" s="24">
        <v>10.26</v>
      </c>
      <c r="E20" s="24">
        <v>2600</v>
      </c>
      <c r="F20" s="58">
        <v>2.6</v>
      </c>
      <c r="G20" s="24">
        <v>700</v>
      </c>
      <c r="H20" s="24">
        <v>3200</v>
      </c>
      <c r="I20" s="33">
        <v>2700000</v>
      </c>
      <c r="J20" s="125">
        <f t="shared" si="0"/>
        <v>0.68257958814785002</v>
      </c>
      <c r="K20" s="33">
        <v>5050000</v>
      </c>
      <c r="L20" s="24">
        <v>1.1599999999999999</v>
      </c>
      <c r="M20" s="35"/>
      <c r="N20" s="35"/>
      <c r="O20" s="35"/>
      <c r="P20" s="233">
        <f t="shared" ref="P20:P25" si="1">B$16*A20</f>
        <v>8571.4285714285725</v>
      </c>
      <c r="Q20" s="225"/>
    </row>
    <row r="21" spans="1:19" ht="15.75" thickBot="1" x14ac:dyDescent="0.3">
      <c r="A21" s="32">
        <v>5</v>
      </c>
      <c r="B21" s="24">
        <v>4.8</v>
      </c>
      <c r="C21" s="24">
        <v>9.6300000000000008</v>
      </c>
      <c r="D21" s="24">
        <v>10.28</v>
      </c>
      <c r="E21" s="24">
        <v>2800</v>
      </c>
      <c r="F21" s="58">
        <v>1.7</v>
      </c>
      <c r="G21" s="24">
        <v>700</v>
      </c>
      <c r="H21" s="24"/>
      <c r="I21" s="33">
        <v>93000</v>
      </c>
      <c r="J21" s="125">
        <f t="shared" si="0"/>
        <v>2.1454604037529021</v>
      </c>
      <c r="K21" s="33">
        <v>95000</v>
      </c>
      <c r="L21" s="24">
        <v>2.88</v>
      </c>
      <c r="M21" s="35"/>
      <c r="N21" s="35"/>
      <c r="O21" s="35"/>
      <c r="P21" s="233">
        <f t="shared" si="1"/>
        <v>14285.714285714286</v>
      </c>
    </row>
    <row r="22" spans="1:19" ht="15.75" thickBot="1" x14ac:dyDescent="0.3">
      <c r="A22" s="32">
        <v>10</v>
      </c>
      <c r="B22" s="24">
        <v>4.5999999999999996</v>
      </c>
      <c r="C22" s="24">
        <v>9.56</v>
      </c>
      <c r="D22" s="24">
        <v>10.29</v>
      </c>
      <c r="E22" s="24">
        <v>2600</v>
      </c>
      <c r="F22" s="58">
        <v>1.1000000000000001</v>
      </c>
      <c r="G22" s="24">
        <v>700</v>
      </c>
      <c r="H22" s="24"/>
      <c r="I22" s="33">
        <v>1200</v>
      </c>
      <c r="J22" s="125">
        <f t="shared" si="0"/>
        <v>4.0347621062592118</v>
      </c>
      <c r="K22" s="33">
        <v>0</v>
      </c>
      <c r="L22" s="24" t="s">
        <v>196</v>
      </c>
      <c r="M22" s="35"/>
      <c r="N22" s="35"/>
      <c r="O22" s="35"/>
      <c r="P22" s="233">
        <f t="shared" si="1"/>
        <v>28571.428571428572</v>
      </c>
    </row>
    <row r="23" spans="1:19" ht="15.75" thickBot="1" x14ac:dyDescent="0.3">
      <c r="A23" s="32">
        <v>15</v>
      </c>
      <c r="B23" s="24">
        <v>4.5</v>
      </c>
      <c r="C23" s="24">
        <v>9.48</v>
      </c>
      <c r="D23" s="24">
        <v>10.32</v>
      </c>
      <c r="E23" s="24">
        <v>2800</v>
      </c>
      <c r="F23" s="58">
        <v>2.5</v>
      </c>
      <c r="G23" s="24">
        <v>700</v>
      </c>
      <c r="H23" s="24"/>
      <c r="I23" s="33">
        <v>333</v>
      </c>
      <c r="J23" s="125">
        <f t="shared" si="0"/>
        <v>4.5914991188005168</v>
      </c>
      <c r="K23" s="33">
        <v>0</v>
      </c>
      <c r="L23" s="24" t="s">
        <v>196</v>
      </c>
      <c r="M23" s="35"/>
      <c r="N23" s="35"/>
      <c r="O23" s="35"/>
      <c r="P23" s="233">
        <f t="shared" si="1"/>
        <v>42857.142857142862</v>
      </c>
    </row>
    <row r="24" spans="1:19" ht="15.75" thickBot="1" x14ac:dyDescent="0.3">
      <c r="A24" s="32">
        <v>30</v>
      </c>
      <c r="B24" s="24">
        <v>4.3</v>
      </c>
      <c r="C24" s="24">
        <v>9.39</v>
      </c>
      <c r="D24" s="24">
        <v>10.33</v>
      </c>
      <c r="E24" s="24">
        <v>2800</v>
      </c>
      <c r="F24" s="58">
        <v>3.3</v>
      </c>
      <c r="G24" s="24">
        <v>700</v>
      </c>
      <c r="H24" s="24"/>
      <c r="I24" s="33">
        <v>250</v>
      </c>
      <c r="J24" s="125">
        <f t="shared" si="0"/>
        <v>4.7160033436347994</v>
      </c>
      <c r="K24" s="33">
        <v>0</v>
      </c>
      <c r="L24" s="24" t="s">
        <v>196</v>
      </c>
      <c r="M24" s="36"/>
      <c r="N24" s="36"/>
      <c r="O24" s="35"/>
      <c r="P24" s="233">
        <f t="shared" si="1"/>
        <v>85714.285714285725</v>
      </c>
    </row>
    <row r="25" spans="1:19" ht="15.75" thickBot="1" x14ac:dyDescent="0.3">
      <c r="A25" s="32">
        <v>60</v>
      </c>
      <c r="B25" s="24">
        <v>3.8</v>
      </c>
      <c r="C25" s="24">
        <v>9.48</v>
      </c>
      <c r="D25" s="24">
        <v>10.42</v>
      </c>
      <c r="E25" s="24">
        <v>2800</v>
      </c>
      <c r="F25" s="58">
        <v>1.6</v>
      </c>
      <c r="G25" s="24">
        <v>700</v>
      </c>
      <c r="H25" s="24">
        <v>3210</v>
      </c>
      <c r="I25" s="33">
        <v>100</v>
      </c>
      <c r="J25" s="125">
        <f t="shared" si="0"/>
        <v>5.1139433523068369</v>
      </c>
      <c r="K25" s="33">
        <v>0</v>
      </c>
      <c r="L25" s="24" t="s">
        <v>196</v>
      </c>
      <c r="M25" s="36">
        <v>388</v>
      </c>
      <c r="N25" s="36">
        <v>12666</v>
      </c>
      <c r="O25" s="89">
        <v>6300</v>
      </c>
      <c r="P25" s="233">
        <f t="shared" si="1"/>
        <v>171428.57142857145</v>
      </c>
    </row>
    <row r="26" spans="1:19" ht="15.75" thickBot="1" x14ac:dyDescent="0.3">
      <c r="A26" s="86" t="s">
        <v>242</v>
      </c>
      <c r="B26" s="36">
        <v>3.8</v>
      </c>
      <c r="C26" s="36">
        <v>9.4499999999999993</v>
      </c>
      <c r="D26" s="36">
        <v>10.36</v>
      </c>
      <c r="E26" s="36">
        <v>2800</v>
      </c>
      <c r="F26" s="60">
        <v>2.5</v>
      </c>
      <c r="G26" s="36">
        <v>700</v>
      </c>
      <c r="H26" s="36">
        <v>3040</v>
      </c>
      <c r="I26" s="33">
        <v>50</v>
      </c>
      <c r="J26" s="24">
        <v>5.41</v>
      </c>
      <c r="K26" s="33">
        <v>0</v>
      </c>
      <c r="L26" s="24" t="s">
        <v>196</v>
      </c>
      <c r="M26" s="36">
        <v>466</v>
      </c>
      <c r="N26" s="36">
        <v>14538</v>
      </c>
      <c r="O26" s="35"/>
    </row>
    <row r="27" spans="1:19" x14ac:dyDescent="0.25">
      <c r="B27">
        <f>AVERAGE(B20:B25)</f>
        <v>4.45</v>
      </c>
      <c r="C27">
        <f>AVERAGE(C20:C25)</f>
        <v>9.5316666666666681</v>
      </c>
      <c r="J27" s="178">
        <v>5.0999999999999996</v>
      </c>
      <c r="N27" s="28"/>
    </row>
    <row r="28" spans="1:19" x14ac:dyDescent="0.25">
      <c r="A28" s="28" t="s">
        <v>140</v>
      </c>
      <c r="B28" s="28"/>
      <c r="C28" s="28"/>
      <c r="D28" s="28"/>
      <c r="E28" s="28"/>
      <c r="F28" s="28"/>
      <c r="G28" s="28"/>
      <c r="H28" s="28"/>
      <c r="I28" s="29"/>
      <c r="J28" s="28"/>
      <c r="K28" s="28"/>
      <c r="L28" s="28"/>
      <c r="M28" s="28"/>
      <c r="N28" s="28"/>
    </row>
    <row r="29" spans="1:19" x14ac:dyDescent="0.25">
      <c r="A29" s="28"/>
      <c r="B29" s="28" t="s">
        <v>141</v>
      </c>
      <c r="C29" s="28"/>
      <c r="D29" s="28"/>
      <c r="E29" s="28"/>
      <c r="F29" s="28"/>
      <c r="G29" s="28"/>
      <c r="H29" s="28"/>
      <c r="I29" s="29"/>
      <c r="J29" s="28"/>
      <c r="K29" s="28" t="s">
        <v>34</v>
      </c>
      <c r="L29" s="28" t="s">
        <v>34</v>
      </c>
      <c r="M29" s="28" t="s">
        <v>34</v>
      </c>
      <c r="N29" s="28" t="s">
        <v>34</v>
      </c>
    </row>
    <row r="30" spans="1:19" x14ac:dyDescent="0.25">
      <c r="A30" s="28" t="s">
        <v>272</v>
      </c>
      <c r="B30" s="28"/>
      <c r="C30" s="28"/>
      <c r="D30" s="28"/>
      <c r="E30" s="28"/>
      <c r="F30" s="28"/>
      <c r="G30" s="28"/>
      <c r="H30" s="28"/>
      <c r="I30" s="29"/>
      <c r="J30" s="28"/>
      <c r="K30" s="28" t="s">
        <v>34</v>
      </c>
      <c r="L30" s="28" t="s">
        <v>34</v>
      </c>
      <c r="M30" s="28"/>
      <c r="N30" s="28"/>
    </row>
    <row r="31" spans="1:19" x14ac:dyDescent="0.25">
      <c r="A31" s="59" t="s">
        <v>310</v>
      </c>
      <c r="F31" s="28"/>
      <c r="G31" s="28"/>
      <c r="H31" s="28"/>
      <c r="I31" s="29"/>
      <c r="J31" s="28"/>
      <c r="K31" s="28" t="s">
        <v>34</v>
      </c>
      <c r="L31" s="28" t="s">
        <v>34</v>
      </c>
      <c r="M31" s="28" t="s">
        <v>34</v>
      </c>
      <c r="N31" s="28"/>
    </row>
    <row r="32" spans="1:19" x14ac:dyDescent="0.25">
      <c r="A32" s="59"/>
      <c r="F32" s="28"/>
      <c r="G32" s="28"/>
      <c r="H32" s="28"/>
      <c r="I32" s="29"/>
      <c r="J32" s="28"/>
      <c r="K32" s="28"/>
      <c r="L32" s="28"/>
      <c r="M32" s="28"/>
      <c r="N32" s="28"/>
    </row>
    <row r="33" spans="1:14" x14ac:dyDescent="0.25">
      <c r="A33" s="19" t="s">
        <v>28</v>
      </c>
      <c r="B33" s="28"/>
      <c r="C33" s="264" t="s">
        <v>751</v>
      </c>
      <c r="D33" s="28"/>
      <c r="E33" s="28"/>
      <c r="F33" s="28"/>
      <c r="G33" s="28"/>
      <c r="H33" s="28"/>
      <c r="I33" s="29"/>
      <c r="J33" s="28"/>
      <c r="K33" s="28" t="s">
        <v>34</v>
      </c>
      <c r="L33" s="28" t="s">
        <v>34</v>
      </c>
      <c r="M33" s="28" t="s">
        <v>34</v>
      </c>
      <c r="N33" s="28"/>
    </row>
    <row r="34" spans="1:14" x14ac:dyDescent="0.25">
      <c r="A34" s="28"/>
      <c r="B34" s="22"/>
      <c r="C34" s="264"/>
      <c r="D34" s="28"/>
      <c r="E34" s="28"/>
      <c r="F34" s="28"/>
      <c r="G34" s="28"/>
      <c r="H34" s="28"/>
      <c r="I34" s="29"/>
      <c r="J34" s="28"/>
      <c r="K34" s="28"/>
      <c r="L34" s="28" t="s">
        <v>34</v>
      </c>
      <c r="M34" s="28" t="s">
        <v>34</v>
      </c>
      <c r="N34" s="28"/>
    </row>
    <row r="35" spans="1:14" x14ac:dyDescent="0.25">
      <c r="A35" s="28"/>
      <c r="C35" s="263" t="s">
        <v>146</v>
      </c>
      <c r="D35" s="41"/>
      <c r="E35" s="41"/>
      <c r="F35" s="41"/>
      <c r="G35" s="41"/>
      <c r="H35" s="41"/>
      <c r="I35" s="41"/>
      <c r="J35" s="41"/>
      <c r="K35" s="41"/>
      <c r="L35" s="41" t="s">
        <v>34</v>
      </c>
      <c r="M35" s="28"/>
      <c r="N35" s="28"/>
    </row>
    <row r="36" spans="1:14" x14ac:dyDescent="0.25">
      <c r="A36" s="28"/>
      <c r="C36" s="264" t="s">
        <v>302</v>
      </c>
      <c r="D36" s="41"/>
      <c r="E36" s="41"/>
      <c r="F36" s="41"/>
      <c r="G36" s="41"/>
      <c r="H36" s="41"/>
      <c r="I36" s="41"/>
      <c r="J36" s="41"/>
      <c r="K36" s="41"/>
      <c r="L36" s="41"/>
      <c r="M36" s="28"/>
      <c r="N36" s="28"/>
    </row>
    <row r="37" spans="1:14" x14ac:dyDescent="0.25">
      <c r="A37" s="28"/>
      <c r="C37" s="264" t="s">
        <v>303</v>
      </c>
      <c r="D37" s="28"/>
      <c r="E37" s="28"/>
      <c r="F37" s="28"/>
      <c r="G37" s="28"/>
      <c r="H37" s="28"/>
      <c r="I37" s="29"/>
      <c r="J37" s="28"/>
      <c r="K37" s="28"/>
      <c r="L37" s="28"/>
      <c r="M37" s="28" t="s">
        <v>34</v>
      </c>
      <c r="N37" s="28"/>
    </row>
    <row r="38" spans="1:14" x14ac:dyDescent="0.25">
      <c r="A38" s="28"/>
      <c r="C38" s="264" t="s">
        <v>304</v>
      </c>
      <c r="D38" s="41"/>
      <c r="E38" s="41"/>
      <c r="F38" s="41"/>
      <c r="G38" s="41"/>
      <c r="H38" s="41"/>
      <c r="I38" s="41"/>
      <c r="J38" s="41"/>
      <c r="K38" s="41"/>
      <c r="L38" s="41"/>
      <c r="M38" s="28"/>
      <c r="N38" s="28"/>
    </row>
    <row r="39" spans="1:14" x14ac:dyDescent="0.25">
      <c r="A39" s="28"/>
      <c r="C39" s="266" t="s">
        <v>156</v>
      </c>
      <c r="D39" s="41"/>
      <c r="E39" s="41"/>
      <c r="F39" s="41"/>
      <c r="G39" s="41"/>
      <c r="H39" s="41"/>
      <c r="I39" s="41"/>
      <c r="J39" s="41"/>
      <c r="K39" s="41"/>
      <c r="L39" s="41"/>
      <c r="M39" s="28"/>
      <c r="N39" s="28"/>
    </row>
    <row r="40" spans="1:14" x14ac:dyDescent="0.25">
      <c r="A40" s="28"/>
      <c r="C40" s="264" t="s">
        <v>344</v>
      </c>
      <c r="M40" s="28"/>
      <c r="N40" s="28"/>
    </row>
    <row r="41" spans="1:14" x14ac:dyDescent="0.25">
      <c r="A41" s="28"/>
      <c r="C41" s="268" t="s">
        <v>36</v>
      </c>
      <c r="D41" s="87"/>
      <c r="E41" s="87"/>
      <c r="F41" s="87"/>
      <c r="G41" s="87"/>
      <c r="H41" s="87"/>
      <c r="I41" s="88"/>
      <c r="J41" s="87"/>
      <c r="K41" s="87"/>
      <c r="L41" s="28"/>
      <c r="N41" s="28"/>
    </row>
    <row r="42" spans="1:14" x14ac:dyDescent="0.25">
      <c r="A42" s="28"/>
      <c r="C42" s="263" t="s">
        <v>337</v>
      </c>
      <c r="D42" s="41"/>
      <c r="E42" s="41"/>
      <c r="F42" s="41"/>
      <c r="G42" s="41"/>
      <c r="H42" s="41"/>
      <c r="I42" s="41"/>
      <c r="J42" s="41"/>
      <c r="K42" s="41"/>
      <c r="L42" s="41"/>
      <c r="N42" s="28"/>
    </row>
    <row r="43" spans="1:14" x14ac:dyDescent="0.25">
      <c r="A43" s="28"/>
      <c r="C43" s="264" t="s">
        <v>336</v>
      </c>
      <c r="D43" s="28"/>
      <c r="E43" s="28"/>
      <c r="F43" s="28"/>
      <c r="G43" s="28"/>
      <c r="H43" s="28"/>
      <c r="I43" s="29"/>
      <c r="J43" s="28"/>
      <c r="K43" s="28"/>
      <c r="M43" s="28"/>
      <c r="N43" s="28"/>
    </row>
    <row r="44" spans="1:14" x14ac:dyDescent="0.25">
      <c r="A44" s="28"/>
      <c r="C44" s="281" t="s">
        <v>340</v>
      </c>
      <c r="M44" s="28"/>
    </row>
    <row r="45" spans="1:14" x14ac:dyDescent="0.25">
      <c r="C45" s="263" t="s">
        <v>322</v>
      </c>
    </row>
    <row r="46" spans="1:14" x14ac:dyDescent="0.25">
      <c r="C46" s="264" t="s">
        <v>752</v>
      </c>
      <c r="D46" s="72"/>
      <c r="E46" s="72"/>
      <c r="F46" s="72"/>
      <c r="G46" s="72"/>
      <c r="H46" s="72"/>
      <c r="I46" s="72"/>
      <c r="J46" s="72"/>
      <c r="K46" s="72"/>
      <c r="L46" s="72"/>
    </row>
    <row r="47" spans="1:14" x14ac:dyDescent="0.25">
      <c r="C47" s="262"/>
    </row>
    <row r="48" spans="1:14" x14ac:dyDescent="0.25">
      <c r="C48" s="264" t="s">
        <v>753</v>
      </c>
      <c r="L48" s="28"/>
    </row>
    <row r="49" spans="3:14" x14ac:dyDescent="0.25">
      <c r="C49" s="263" t="s">
        <v>754</v>
      </c>
      <c r="N49" t="s">
        <v>34</v>
      </c>
    </row>
    <row r="50" spans="3:14" x14ac:dyDescent="0.25">
      <c r="C50" s="264" t="s">
        <v>325</v>
      </c>
      <c r="D50" s="90"/>
      <c r="E50" s="90"/>
      <c r="F50" s="90"/>
      <c r="G50" s="90"/>
      <c r="H50" s="90"/>
      <c r="I50" s="90"/>
      <c r="J50" s="90"/>
      <c r="K50" s="90"/>
      <c r="L50" s="65"/>
      <c r="M50" s="90"/>
    </row>
    <row r="51" spans="3:14" x14ac:dyDescent="0.25">
      <c r="C51" s="263" t="s">
        <v>748</v>
      </c>
      <c r="D51" s="41"/>
      <c r="E51" s="41"/>
      <c r="F51" s="41"/>
      <c r="G51" s="41"/>
      <c r="H51" s="41"/>
      <c r="I51" s="41"/>
      <c r="J51" s="41"/>
      <c r="K51" s="41"/>
      <c r="L51" s="41"/>
      <c r="M51" s="41"/>
    </row>
    <row r="52" spans="3:14" x14ac:dyDescent="0.25">
      <c r="C52" s="263" t="s">
        <v>326</v>
      </c>
      <c r="D52" s="41"/>
      <c r="E52" s="41"/>
      <c r="F52" s="41"/>
      <c r="G52" s="41"/>
      <c r="H52" s="41"/>
      <c r="I52" s="41"/>
      <c r="J52" s="41"/>
      <c r="K52" s="41"/>
      <c r="L52" s="41"/>
      <c r="M52" s="41"/>
      <c r="N52" t="s">
        <v>34</v>
      </c>
    </row>
    <row r="53" spans="3:14" x14ac:dyDescent="0.25">
      <c r="C53" s="262"/>
      <c r="D53" s="28"/>
      <c r="E53" s="28"/>
      <c r="F53" s="28"/>
      <c r="G53" s="28"/>
      <c r="H53" s="28"/>
      <c r="I53" s="29"/>
      <c r="J53" s="28"/>
      <c r="K53" s="90"/>
      <c r="L53" s="90"/>
      <c r="M53" s="90"/>
    </row>
    <row r="54" spans="3:14" x14ac:dyDescent="0.25">
      <c r="C54" s="264" t="s">
        <v>734</v>
      </c>
      <c r="D54" s="90"/>
      <c r="E54" s="90"/>
      <c r="F54" s="90"/>
      <c r="G54" s="90"/>
      <c r="H54" s="90"/>
      <c r="I54" s="90"/>
      <c r="J54" s="90"/>
      <c r="K54" s="90"/>
      <c r="L54" s="90"/>
      <c r="M54" s="90"/>
    </row>
    <row r="55" spans="3:14" x14ac:dyDescent="0.25">
      <c r="C55" s="264" t="s">
        <v>155</v>
      </c>
      <c r="D55" s="90"/>
      <c r="E55" s="90"/>
      <c r="F55" s="90"/>
      <c r="G55" s="90"/>
      <c r="H55" s="90"/>
      <c r="I55" s="90"/>
      <c r="J55" s="90"/>
      <c r="K55" s="90"/>
      <c r="L55" s="90"/>
      <c r="M55" s="90"/>
    </row>
    <row r="56" spans="3:14" x14ac:dyDescent="0.25">
      <c r="C56" s="263" t="s">
        <v>157</v>
      </c>
      <c r="D56" s="41"/>
      <c r="E56" s="41"/>
      <c r="F56" s="41"/>
      <c r="G56" s="41"/>
      <c r="H56" s="41"/>
      <c r="I56" s="41"/>
      <c r="J56" s="41"/>
      <c r="K56" s="41"/>
      <c r="L56" s="90"/>
      <c r="M56" s="90"/>
    </row>
    <row r="57" spans="3:14" x14ac:dyDescent="0.25">
      <c r="C57" s="41"/>
      <c r="D57" s="41"/>
      <c r="E57" s="41"/>
      <c r="F57" s="41"/>
      <c r="G57" s="41"/>
      <c r="H57" s="41"/>
      <c r="I57" s="41"/>
      <c r="J57" s="41"/>
      <c r="K57" s="41"/>
      <c r="L57" s="90"/>
      <c r="M57" s="90"/>
    </row>
    <row r="58" spans="3:14" x14ac:dyDescent="0.25">
      <c r="C58" s="28"/>
      <c r="D58" s="28"/>
      <c r="E58" s="28"/>
      <c r="F58" s="28"/>
      <c r="G58" s="28"/>
      <c r="H58" s="29"/>
      <c r="I58" s="28"/>
      <c r="J58" s="41"/>
      <c r="K58" s="28"/>
      <c r="L58" s="90"/>
      <c r="M58" s="90"/>
    </row>
  </sheetData>
  <pageMargins left="0.7" right="0.7" top="0.75" bottom="0.75" header="0.3" footer="0.3"/>
  <pageSetup scale="57" orientation="landscape" verticalDpi="597" r:id="rId1"/>
  <drawing r:id="rId2"/>
  <legacyDrawing r:id="rId3"/>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pageSetUpPr fitToPage="1"/>
  </sheetPr>
  <dimension ref="A6:S58"/>
  <sheetViews>
    <sheetView zoomScale="90" zoomScaleNormal="90" workbookViewId="0"/>
  </sheetViews>
  <sheetFormatPr defaultRowHeight="15" x14ac:dyDescent="0.25"/>
  <cols>
    <col min="2" max="2" width="10.5703125"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41044</v>
      </c>
    </row>
    <row r="8" spans="1:15" x14ac:dyDescent="0.25">
      <c r="A8" s="28" t="s">
        <v>14</v>
      </c>
      <c r="B8" s="28">
        <v>30</v>
      </c>
      <c r="C8" s="28" t="s">
        <v>469</v>
      </c>
      <c r="D8" s="28"/>
      <c r="E8" s="28"/>
      <c r="F8" s="28"/>
      <c r="G8" s="28"/>
      <c r="H8" s="28"/>
      <c r="I8" s="29"/>
      <c r="J8" s="28"/>
      <c r="K8" s="28" t="s">
        <v>34</v>
      </c>
      <c r="L8" s="28" t="s">
        <v>34</v>
      </c>
      <c r="M8" s="28"/>
      <c r="N8" s="28"/>
    </row>
    <row r="9" spans="1:15" x14ac:dyDescent="0.25">
      <c r="A9" s="28" t="s">
        <v>15</v>
      </c>
      <c r="B9" s="28">
        <v>1</v>
      </c>
      <c r="C9" s="28" t="s">
        <v>387</v>
      </c>
      <c r="D9" s="28"/>
      <c r="E9" s="28"/>
      <c r="F9" s="28"/>
      <c r="G9" s="28"/>
      <c r="H9" s="28"/>
      <c r="I9" s="29"/>
      <c r="J9" s="28"/>
      <c r="K9" s="28"/>
      <c r="L9" s="28"/>
      <c r="M9" s="28"/>
      <c r="N9" s="28"/>
    </row>
    <row r="10" spans="1:15" x14ac:dyDescent="0.25">
      <c r="A10" s="28" t="s">
        <v>16</v>
      </c>
      <c r="B10" s="244">
        <v>2000</v>
      </c>
      <c r="C10" s="31" t="s">
        <v>721</v>
      </c>
      <c r="D10" s="28"/>
      <c r="E10" s="28"/>
      <c r="F10" s="28"/>
      <c r="G10" s="28"/>
      <c r="H10" s="28"/>
      <c r="I10" s="29" t="s">
        <v>34</v>
      </c>
      <c r="J10" s="28" t="s">
        <v>34</v>
      </c>
      <c r="K10" s="28" t="s">
        <v>34</v>
      </c>
      <c r="L10" s="28" t="s">
        <v>34</v>
      </c>
      <c r="M10" s="28" t="s">
        <v>34</v>
      </c>
      <c r="N10" s="28" t="s">
        <v>34</v>
      </c>
    </row>
    <row r="11" spans="1:15" x14ac:dyDescent="0.25">
      <c r="A11" s="28"/>
      <c r="B11" s="256">
        <v>200000000</v>
      </c>
      <c r="C11" s="31" t="s">
        <v>717</v>
      </c>
      <c r="D11" s="28"/>
      <c r="E11" s="28"/>
      <c r="F11" s="28"/>
      <c r="G11" s="28"/>
      <c r="H11" s="28"/>
      <c r="I11" s="29"/>
      <c r="J11" s="28"/>
      <c r="K11" s="28" t="s">
        <v>34</v>
      </c>
      <c r="L11" s="28"/>
      <c r="M11" s="28"/>
      <c r="N11" s="28"/>
    </row>
    <row r="12" spans="1:15" x14ac:dyDescent="0.25">
      <c r="A12" s="28"/>
      <c r="B12" s="244">
        <v>95</v>
      </c>
      <c r="C12" s="31" t="s">
        <v>724</v>
      </c>
      <c r="D12" s="28"/>
      <c r="E12" s="28"/>
      <c r="F12" s="28"/>
      <c r="G12" s="28"/>
      <c r="H12" s="28"/>
      <c r="I12" s="29"/>
      <c r="J12" s="28"/>
      <c r="K12" s="28"/>
      <c r="L12" s="28"/>
      <c r="M12" s="28"/>
      <c r="N12" s="28"/>
    </row>
    <row r="13" spans="1:15" x14ac:dyDescent="0.25">
      <c r="A13" s="28"/>
      <c r="B13" s="244">
        <v>6</v>
      </c>
      <c r="C13" s="28" t="s">
        <v>697</v>
      </c>
      <c r="D13" s="28"/>
      <c r="E13" s="28"/>
      <c r="F13" s="28"/>
      <c r="G13" s="28"/>
      <c r="H13" s="28"/>
      <c r="I13" s="251"/>
      <c r="J13" s="28"/>
      <c r="K13" s="28"/>
      <c r="L13" s="28"/>
      <c r="M13" s="28"/>
      <c r="N13" s="28"/>
    </row>
    <row r="14" spans="1:15" x14ac:dyDescent="0.25">
      <c r="A14" s="28"/>
      <c r="B14" s="244">
        <v>100</v>
      </c>
      <c r="C14" s="87" t="s">
        <v>696</v>
      </c>
      <c r="D14" s="28"/>
      <c r="E14" s="28"/>
      <c r="F14" s="28"/>
      <c r="G14" s="28"/>
      <c r="H14" s="28"/>
      <c r="I14" s="251"/>
      <c r="J14" s="28"/>
      <c r="K14" s="28"/>
      <c r="L14" s="28"/>
      <c r="M14" s="28"/>
      <c r="N14" s="28"/>
    </row>
    <row r="15" spans="1:15" x14ac:dyDescent="0.25">
      <c r="A15" s="28"/>
      <c r="B15" s="244">
        <v>0</v>
      </c>
      <c r="C15" s="87" t="s">
        <v>698</v>
      </c>
      <c r="D15" s="28"/>
      <c r="E15" s="28"/>
      <c r="F15" s="28"/>
      <c r="G15" s="28"/>
      <c r="H15" s="28"/>
      <c r="I15" s="251"/>
      <c r="J15" s="28"/>
      <c r="K15" s="28"/>
      <c r="L15" s="28"/>
      <c r="M15" s="28"/>
      <c r="N15" s="28"/>
    </row>
    <row r="16" spans="1:15" x14ac:dyDescent="0.25">
      <c r="A16" s="28"/>
      <c r="B16" s="245">
        <f>(B12*B13/100*1000)/(B10+B12-B14+B15)*1000</f>
        <v>2857.1428571428573</v>
      </c>
      <c r="C16" s="28" t="s">
        <v>700</v>
      </c>
      <c r="D16" s="28"/>
      <c r="E16" s="28"/>
      <c r="F16" s="28"/>
      <c r="G16" s="28"/>
      <c r="H16" s="28"/>
      <c r="I16" s="251"/>
      <c r="J16" s="28"/>
      <c r="K16" s="28"/>
      <c r="L16" s="28"/>
      <c r="M16" s="28"/>
      <c r="N16" s="28"/>
    </row>
    <row r="17" spans="1:19" ht="15.75" thickBot="1" x14ac:dyDescent="0.3">
      <c r="A17" s="28"/>
      <c r="B17" s="28" t="s">
        <v>647</v>
      </c>
      <c r="C17" s="28"/>
      <c r="D17" s="28"/>
      <c r="E17" s="28"/>
      <c r="F17" s="28"/>
      <c r="G17" s="28"/>
      <c r="H17" s="28"/>
      <c r="I17" s="29"/>
      <c r="J17" s="28"/>
      <c r="K17" s="28"/>
      <c r="L17" s="28"/>
      <c r="M17" s="28"/>
      <c r="N17" s="28"/>
    </row>
    <row r="18" spans="1:19" ht="90" thickBot="1" x14ac:dyDescent="0.3">
      <c r="A18" s="10" t="s">
        <v>29</v>
      </c>
      <c r="B18" s="11" t="s">
        <v>17</v>
      </c>
      <c r="C18" s="11" t="s">
        <v>30</v>
      </c>
      <c r="D18" s="11" t="s">
        <v>31</v>
      </c>
      <c r="E18" s="11" t="s">
        <v>32</v>
      </c>
      <c r="F18" s="11" t="s">
        <v>351</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23">
        <v>4.2</v>
      </c>
      <c r="C19" s="23">
        <v>9.33</v>
      </c>
      <c r="D19" s="23">
        <v>9.48</v>
      </c>
      <c r="E19" s="23">
        <v>0.4</v>
      </c>
      <c r="F19" s="91">
        <v>1.3</v>
      </c>
      <c r="G19" s="23">
        <v>700</v>
      </c>
      <c r="H19" s="23">
        <v>3510</v>
      </c>
      <c r="I19" s="33">
        <v>18000000</v>
      </c>
      <c r="J19" s="125">
        <f>LOG(I$19)-LOG(I19)</f>
        <v>0</v>
      </c>
      <c r="K19" s="33">
        <v>74000000</v>
      </c>
      <c r="L19" s="23" t="s">
        <v>26</v>
      </c>
      <c r="M19" s="34"/>
      <c r="N19" s="34"/>
      <c r="O19" s="35"/>
      <c r="P19" s="233">
        <f>B$16*A19</f>
        <v>0</v>
      </c>
      <c r="Q19" s="233">
        <f>6/LINEST(J19:J21,P19:P21,FALSE)</f>
        <v>43730.82623046777</v>
      </c>
      <c r="R19" s="233">
        <f>Q19/3000</f>
        <v>14.57694207682259</v>
      </c>
      <c r="S19" s="233">
        <f>(J27/LINEST($J19:$J21,$P19:$P21,FALSE))/$B$16</f>
        <v>18.520004908603099</v>
      </c>
    </row>
    <row r="20" spans="1:19" ht="15.75" thickBot="1" x14ac:dyDescent="0.3">
      <c r="A20" s="32">
        <v>3</v>
      </c>
      <c r="B20" s="24">
        <v>4.7</v>
      </c>
      <c r="C20" s="24">
        <v>10.53</v>
      </c>
      <c r="D20" s="24">
        <v>10.39</v>
      </c>
      <c r="E20" s="24">
        <v>3000</v>
      </c>
      <c r="F20" s="58">
        <v>1.6</v>
      </c>
      <c r="G20" s="24">
        <v>600</v>
      </c>
      <c r="H20" s="24">
        <v>3540</v>
      </c>
      <c r="I20" s="33">
        <v>4700000</v>
      </c>
      <c r="J20" s="125">
        <f>LOG(I$19)-LOG(I20)</f>
        <v>0.58317464716758938</v>
      </c>
      <c r="K20" s="33">
        <v>3600000</v>
      </c>
      <c r="L20" s="24">
        <v>1.31</v>
      </c>
      <c r="M20" s="35"/>
      <c r="N20" s="35"/>
      <c r="O20" s="35"/>
      <c r="P20" s="233">
        <f>B$16*A20</f>
        <v>8571.4285714285725</v>
      </c>
      <c r="Q20" s="225"/>
    </row>
    <row r="21" spans="1:19" ht="15.75" thickBot="1" x14ac:dyDescent="0.3">
      <c r="A21" s="32">
        <v>5</v>
      </c>
      <c r="B21" s="24">
        <v>4.7</v>
      </c>
      <c r="C21" s="24">
        <v>10.42</v>
      </c>
      <c r="D21" s="24">
        <v>10.41</v>
      </c>
      <c r="E21" s="24">
        <v>3000</v>
      </c>
      <c r="F21" s="58">
        <v>2.5</v>
      </c>
      <c r="G21" s="24">
        <v>600</v>
      </c>
      <c r="H21" s="24"/>
      <c r="I21" s="33">
        <v>87000</v>
      </c>
      <c r="J21" s="125">
        <f>LOG(I$19)-LOG(I21)</f>
        <v>2.3157532524846882</v>
      </c>
      <c r="K21" s="33">
        <v>110000</v>
      </c>
      <c r="L21" s="24">
        <v>2.82</v>
      </c>
      <c r="M21" s="35"/>
      <c r="N21" s="35"/>
      <c r="O21" s="35"/>
      <c r="P21" s="233">
        <f>B$16*A21</f>
        <v>14285.714285714286</v>
      </c>
    </row>
    <row r="22" spans="1:19" ht="15.75" thickBot="1" x14ac:dyDescent="0.3">
      <c r="A22" s="32">
        <v>10</v>
      </c>
      <c r="B22" s="24">
        <v>4.8</v>
      </c>
      <c r="C22" s="24">
        <v>10.16</v>
      </c>
      <c r="D22" s="24">
        <v>10.41</v>
      </c>
      <c r="E22" s="24">
        <v>3000</v>
      </c>
      <c r="F22" s="58">
        <v>1.3</v>
      </c>
      <c r="G22" s="24">
        <v>700</v>
      </c>
      <c r="H22" s="24"/>
      <c r="I22" s="33">
        <v>0</v>
      </c>
      <c r="J22" s="24" t="s">
        <v>327</v>
      </c>
      <c r="K22" s="33">
        <v>0</v>
      </c>
      <c r="L22" s="24" t="s">
        <v>196</v>
      </c>
      <c r="M22" s="35"/>
      <c r="N22" s="35"/>
      <c r="O22" s="35"/>
      <c r="P22" s="233">
        <f>B$16*A22</f>
        <v>28571.428571428572</v>
      </c>
    </row>
    <row r="23" spans="1:19" ht="15.75" thickBot="1" x14ac:dyDescent="0.3">
      <c r="A23" s="32">
        <v>15</v>
      </c>
      <c r="B23" s="24">
        <v>4.9000000000000004</v>
      </c>
      <c r="C23" s="24">
        <v>9.9499999999999993</v>
      </c>
      <c r="D23" s="24">
        <v>10.37</v>
      </c>
      <c r="E23" s="24">
        <v>3500</v>
      </c>
      <c r="F23" s="58">
        <v>3.1</v>
      </c>
      <c r="G23" s="24">
        <v>600</v>
      </c>
      <c r="H23" s="24"/>
      <c r="I23" s="33">
        <v>0</v>
      </c>
      <c r="J23" s="24" t="s">
        <v>327</v>
      </c>
      <c r="K23" s="33">
        <v>0</v>
      </c>
      <c r="L23" s="24" t="s">
        <v>196</v>
      </c>
      <c r="M23" s="35"/>
      <c r="N23" s="35"/>
      <c r="O23" s="35"/>
      <c r="P23" s="233">
        <f>B$16*A23</f>
        <v>42857.142857142862</v>
      </c>
    </row>
    <row r="24" spans="1:19" ht="15.75" thickBot="1" x14ac:dyDescent="0.3">
      <c r="A24" s="32">
        <v>30</v>
      </c>
      <c r="B24" s="24">
        <v>5.0999999999999996</v>
      </c>
      <c r="C24" s="24">
        <v>9.82</v>
      </c>
      <c r="D24" s="24">
        <v>10.35</v>
      </c>
      <c r="E24" s="24">
        <v>3000</v>
      </c>
      <c r="F24" s="58">
        <v>1.7</v>
      </c>
      <c r="G24" s="24">
        <v>600</v>
      </c>
      <c r="H24" s="24"/>
      <c r="I24" s="33">
        <v>0</v>
      </c>
      <c r="J24" s="24" t="s">
        <v>327</v>
      </c>
      <c r="K24" s="33">
        <v>0</v>
      </c>
      <c r="L24" s="24" t="s">
        <v>196</v>
      </c>
      <c r="M24" s="36"/>
      <c r="N24" s="36"/>
      <c r="O24" s="35"/>
      <c r="P24" s="233"/>
    </row>
    <row r="25" spans="1:19" ht="15.75" thickBot="1" x14ac:dyDescent="0.3">
      <c r="A25" s="32">
        <v>60</v>
      </c>
      <c r="B25" s="24">
        <v>4.9000000000000004</v>
      </c>
      <c r="C25" s="24">
        <v>9.61</v>
      </c>
      <c r="D25" s="24">
        <v>10.45</v>
      </c>
      <c r="E25" s="24">
        <v>2700</v>
      </c>
      <c r="F25" s="58">
        <v>2</v>
      </c>
      <c r="G25" s="24">
        <v>600</v>
      </c>
      <c r="H25" s="24">
        <v>3490</v>
      </c>
      <c r="I25" s="33">
        <v>0</v>
      </c>
      <c r="J25" s="24" t="s">
        <v>327</v>
      </c>
      <c r="K25" s="33">
        <v>0</v>
      </c>
      <c r="L25" s="24" t="s">
        <v>196</v>
      </c>
      <c r="M25" s="36">
        <v>404</v>
      </c>
      <c r="N25" s="36">
        <v>14720</v>
      </c>
      <c r="O25" s="89">
        <v>6500</v>
      </c>
      <c r="P25" s="233"/>
    </row>
    <row r="26" spans="1:19" ht="15.75" thickBot="1" x14ac:dyDescent="0.3">
      <c r="A26" s="86" t="s">
        <v>242</v>
      </c>
      <c r="B26" s="36">
        <v>4.9000000000000004</v>
      </c>
      <c r="C26" s="36">
        <v>9.61</v>
      </c>
      <c r="D26" s="36">
        <v>10.49</v>
      </c>
      <c r="E26" s="36">
        <v>2400</v>
      </c>
      <c r="F26" s="60">
        <v>1</v>
      </c>
      <c r="G26" s="36">
        <v>600</v>
      </c>
      <c r="H26" s="36">
        <v>3450</v>
      </c>
      <c r="I26" s="33">
        <v>0</v>
      </c>
      <c r="J26" s="24" t="s">
        <v>327</v>
      </c>
      <c r="K26" s="33">
        <v>0</v>
      </c>
      <c r="L26" s="24" t="s">
        <v>196</v>
      </c>
      <c r="M26" s="36">
        <v>368</v>
      </c>
      <c r="N26" s="36">
        <v>14786</v>
      </c>
      <c r="O26" s="35"/>
    </row>
    <row r="27" spans="1:19" x14ac:dyDescent="0.25">
      <c r="B27">
        <f>AVERAGE(B20:B21)</f>
        <v>4.7</v>
      </c>
      <c r="C27">
        <f>AVERAGE(C20:C21)</f>
        <v>10.475</v>
      </c>
      <c r="J27" s="178">
        <v>7.26</v>
      </c>
      <c r="N27" s="28"/>
    </row>
    <row r="28" spans="1:19" x14ac:dyDescent="0.25">
      <c r="A28" s="28" t="s">
        <v>140</v>
      </c>
      <c r="B28" s="28"/>
      <c r="C28" s="28"/>
      <c r="D28" s="28"/>
      <c r="E28" s="28"/>
      <c r="F28" s="28"/>
      <c r="G28" s="28"/>
      <c r="H28" s="28"/>
      <c r="I28" s="29"/>
      <c r="J28" s="28"/>
      <c r="K28" s="28"/>
      <c r="L28" s="28"/>
      <c r="M28" s="28"/>
      <c r="N28" s="28"/>
    </row>
    <row r="29" spans="1:19" x14ac:dyDescent="0.25">
      <c r="A29" s="28"/>
      <c r="B29" s="28" t="s">
        <v>141</v>
      </c>
      <c r="C29" s="28"/>
      <c r="D29" s="28"/>
      <c r="E29" s="28"/>
      <c r="F29" s="28"/>
      <c r="G29" s="28"/>
      <c r="H29" s="28"/>
      <c r="I29" s="29"/>
      <c r="J29" s="28"/>
      <c r="K29" s="28" t="s">
        <v>34</v>
      </c>
      <c r="L29" s="28" t="s">
        <v>34</v>
      </c>
      <c r="M29" s="28" t="s">
        <v>34</v>
      </c>
      <c r="N29" s="28" t="s">
        <v>34</v>
      </c>
    </row>
    <row r="30" spans="1:19" x14ac:dyDescent="0.25">
      <c r="A30" s="28" t="s">
        <v>272</v>
      </c>
      <c r="B30" s="28"/>
      <c r="C30" s="28"/>
      <c r="D30" s="28"/>
      <c r="E30" s="28"/>
      <c r="F30" s="28"/>
      <c r="G30" s="28"/>
      <c r="H30" s="28"/>
      <c r="I30" s="29"/>
      <c r="J30" s="28"/>
      <c r="K30" s="28" t="s">
        <v>34</v>
      </c>
      <c r="L30" s="28" t="s">
        <v>34</v>
      </c>
      <c r="M30" s="28"/>
      <c r="N30" s="28"/>
    </row>
    <row r="31" spans="1:19" x14ac:dyDescent="0.25">
      <c r="A31" s="59" t="s">
        <v>310</v>
      </c>
      <c r="F31" s="28"/>
      <c r="G31" s="28"/>
      <c r="H31" s="28"/>
      <c r="I31" s="29"/>
      <c r="J31" s="28"/>
      <c r="K31" s="28" t="s">
        <v>34</v>
      </c>
      <c r="L31" s="28" t="s">
        <v>34</v>
      </c>
      <c r="M31" s="28" t="s">
        <v>34</v>
      </c>
      <c r="N31" s="28"/>
    </row>
    <row r="32" spans="1:19" x14ac:dyDescent="0.25">
      <c r="A32" s="59"/>
      <c r="F32" s="28"/>
      <c r="G32" s="28"/>
      <c r="H32" s="28"/>
      <c r="I32" s="29"/>
      <c r="J32" s="28"/>
      <c r="K32" s="28"/>
      <c r="L32" s="28"/>
      <c r="M32" s="28"/>
      <c r="N32" s="28"/>
    </row>
    <row r="33" spans="1:14" x14ac:dyDescent="0.25">
      <c r="A33" s="19" t="s">
        <v>28</v>
      </c>
      <c r="B33" s="28"/>
      <c r="C33" s="264" t="s">
        <v>756</v>
      </c>
      <c r="D33" s="264"/>
      <c r="E33" s="28"/>
      <c r="F33" s="28"/>
      <c r="G33" s="28"/>
      <c r="H33" s="28"/>
      <c r="I33" s="29"/>
      <c r="J33" s="28"/>
      <c r="K33" s="28" t="s">
        <v>34</v>
      </c>
      <c r="L33" s="28" t="s">
        <v>34</v>
      </c>
      <c r="M33" s="28" t="s">
        <v>34</v>
      </c>
      <c r="N33" s="28"/>
    </row>
    <row r="34" spans="1:14" x14ac:dyDescent="0.25">
      <c r="A34" s="28"/>
      <c r="B34" s="22"/>
      <c r="C34" s="264"/>
      <c r="D34" s="264"/>
      <c r="E34" s="28"/>
      <c r="F34" s="28"/>
      <c r="G34" s="28"/>
      <c r="H34" s="28"/>
      <c r="I34" s="29"/>
      <c r="J34" s="28"/>
      <c r="K34" s="28"/>
      <c r="L34" s="28" t="s">
        <v>34</v>
      </c>
      <c r="M34" s="28" t="s">
        <v>34</v>
      </c>
      <c r="N34" s="28"/>
    </row>
    <row r="35" spans="1:14" x14ac:dyDescent="0.25">
      <c r="A35" s="28"/>
      <c r="C35" s="263" t="s">
        <v>146</v>
      </c>
      <c r="D35" s="261"/>
      <c r="E35" s="41"/>
      <c r="F35" s="41"/>
      <c r="G35" s="41"/>
      <c r="H35" s="41"/>
      <c r="I35" s="41"/>
      <c r="J35" s="41"/>
      <c r="K35" s="41"/>
      <c r="L35" s="41" t="s">
        <v>34</v>
      </c>
      <c r="M35" s="28"/>
      <c r="N35" s="28"/>
    </row>
    <row r="36" spans="1:14" x14ac:dyDescent="0.25">
      <c r="A36" s="28"/>
      <c r="C36" s="264" t="s">
        <v>418</v>
      </c>
      <c r="D36" s="264"/>
      <c r="E36" s="41"/>
      <c r="F36" s="41"/>
      <c r="G36" s="41"/>
      <c r="H36" s="41"/>
      <c r="I36" s="41"/>
      <c r="J36" s="41"/>
      <c r="K36" s="41"/>
      <c r="L36" s="41"/>
      <c r="M36" s="28"/>
      <c r="N36" s="28"/>
    </row>
    <row r="37" spans="1:14" x14ac:dyDescent="0.25">
      <c r="A37" s="28"/>
      <c r="C37" s="264" t="s">
        <v>328</v>
      </c>
      <c r="D37" s="264"/>
      <c r="E37" s="28"/>
      <c r="F37" s="28"/>
      <c r="G37" s="28"/>
      <c r="H37" s="28"/>
      <c r="I37" s="29"/>
      <c r="J37" s="28"/>
      <c r="K37" s="28"/>
      <c r="L37" s="28"/>
      <c r="M37" s="28" t="s">
        <v>34</v>
      </c>
      <c r="N37" s="28"/>
    </row>
    <row r="38" spans="1:14" x14ac:dyDescent="0.25">
      <c r="A38" s="28"/>
      <c r="C38" s="264" t="s">
        <v>329</v>
      </c>
      <c r="D38" s="262"/>
      <c r="E38" s="41"/>
      <c r="F38" s="41"/>
      <c r="G38" s="41"/>
      <c r="H38" s="41"/>
      <c r="I38" s="41"/>
      <c r="J38" s="41"/>
      <c r="K38" s="41"/>
      <c r="L38" s="41"/>
      <c r="M38" s="28"/>
      <c r="N38" s="28"/>
    </row>
    <row r="39" spans="1:14" x14ac:dyDescent="0.25">
      <c r="A39" s="28"/>
      <c r="C39" s="266" t="s">
        <v>156</v>
      </c>
      <c r="D39" s="267"/>
      <c r="E39" s="41"/>
      <c r="F39" s="41"/>
      <c r="G39" s="41"/>
      <c r="H39" s="41"/>
      <c r="I39" s="41"/>
      <c r="J39" s="41"/>
      <c r="K39" s="41"/>
      <c r="L39" s="41"/>
      <c r="M39" s="28"/>
      <c r="N39" s="28"/>
    </row>
    <row r="40" spans="1:14" x14ac:dyDescent="0.25">
      <c r="A40" s="28"/>
      <c r="C40" s="264" t="s">
        <v>345</v>
      </c>
      <c r="D40" s="264"/>
      <c r="M40" s="28"/>
      <c r="N40" s="28"/>
    </row>
    <row r="41" spans="1:14" x14ac:dyDescent="0.25">
      <c r="A41" s="28"/>
      <c r="C41" s="268" t="s">
        <v>36</v>
      </c>
      <c r="D41" s="261"/>
      <c r="E41" s="87"/>
      <c r="F41" s="87"/>
      <c r="G41" s="87"/>
      <c r="H41" s="87"/>
      <c r="I41" s="88"/>
      <c r="J41" s="87"/>
      <c r="K41" s="87"/>
      <c r="L41" s="28"/>
      <c r="N41" s="28"/>
    </row>
    <row r="42" spans="1:14" x14ac:dyDescent="0.25">
      <c r="A42" s="28"/>
      <c r="C42" s="263" t="s">
        <v>337</v>
      </c>
      <c r="D42" s="262"/>
      <c r="E42" s="41"/>
      <c r="F42" s="41"/>
      <c r="G42" s="41"/>
      <c r="H42" s="41"/>
      <c r="I42" s="41"/>
      <c r="J42" s="41"/>
      <c r="K42" s="41"/>
      <c r="L42" s="41"/>
      <c r="N42" s="28"/>
    </row>
    <row r="43" spans="1:14" x14ac:dyDescent="0.25">
      <c r="A43" s="28"/>
      <c r="C43" s="264" t="s">
        <v>336</v>
      </c>
      <c r="D43" s="262"/>
      <c r="E43" s="28"/>
      <c r="F43" s="28"/>
      <c r="G43" s="28"/>
      <c r="H43" s="28"/>
      <c r="I43" s="29"/>
      <c r="J43" s="28"/>
      <c r="K43" s="28"/>
      <c r="M43" s="28"/>
      <c r="N43" s="28"/>
    </row>
    <row r="44" spans="1:14" x14ac:dyDescent="0.25">
      <c r="A44" s="28"/>
      <c r="C44" s="281" t="s">
        <v>340</v>
      </c>
      <c r="D44" s="282"/>
      <c r="M44" s="28"/>
      <c r="N44" s="28"/>
    </row>
    <row r="45" spans="1:14" x14ac:dyDescent="0.25">
      <c r="C45" s="263" t="s">
        <v>330</v>
      </c>
      <c r="D45" s="262"/>
      <c r="N45" s="28"/>
    </row>
    <row r="46" spans="1:14" x14ac:dyDescent="0.25">
      <c r="C46" s="264" t="s">
        <v>752</v>
      </c>
      <c r="D46" s="262"/>
      <c r="E46" s="72"/>
      <c r="F46" s="72"/>
      <c r="G46" s="72"/>
      <c r="H46" s="72"/>
      <c r="I46" s="72"/>
      <c r="J46" s="72"/>
      <c r="K46" s="72"/>
      <c r="L46" s="72"/>
    </row>
    <row r="47" spans="1:14" x14ac:dyDescent="0.25">
      <c r="C47" s="262"/>
      <c r="D47" s="262"/>
    </row>
    <row r="48" spans="1:14" x14ac:dyDescent="0.25">
      <c r="C48" s="264" t="s">
        <v>747</v>
      </c>
      <c r="D48" s="262"/>
      <c r="L48" s="28"/>
    </row>
    <row r="49" spans="3:14" x14ac:dyDescent="0.25">
      <c r="C49" s="263" t="s">
        <v>755</v>
      </c>
      <c r="D49" s="264"/>
      <c r="N49" t="s">
        <v>34</v>
      </c>
    </row>
    <row r="50" spans="3:14" x14ac:dyDescent="0.25">
      <c r="C50" s="264" t="s">
        <v>331</v>
      </c>
      <c r="D50" s="264"/>
      <c r="E50" s="90"/>
      <c r="F50" s="90"/>
      <c r="G50" s="90"/>
      <c r="H50" s="90"/>
      <c r="I50" s="90"/>
      <c r="J50" s="90"/>
      <c r="K50" s="90"/>
      <c r="L50" s="65"/>
      <c r="M50" s="90"/>
    </row>
    <row r="51" spans="3:14" x14ac:dyDescent="0.25">
      <c r="C51" s="263" t="s">
        <v>750</v>
      </c>
      <c r="D51" s="261"/>
      <c r="E51" s="41"/>
      <c r="F51" s="41"/>
      <c r="G51" s="41"/>
      <c r="H51" s="41"/>
      <c r="I51" s="41"/>
      <c r="J51" s="41"/>
      <c r="K51" s="41"/>
      <c r="L51" s="41"/>
      <c r="M51" s="41"/>
    </row>
    <row r="52" spans="3:14" x14ac:dyDescent="0.25">
      <c r="C52" s="263" t="s">
        <v>332</v>
      </c>
      <c r="D52" s="262"/>
      <c r="E52" s="41"/>
      <c r="F52" s="41"/>
      <c r="G52" s="41"/>
      <c r="H52" s="41"/>
      <c r="I52" s="41"/>
      <c r="J52" s="41"/>
      <c r="K52" s="41"/>
      <c r="L52" s="41"/>
      <c r="M52" s="41"/>
      <c r="N52" t="s">
        <v>34</v>
      </c>
    </row>
    <row r="53" spans="3:14" x14ac:dyDescent="0.25">
      <c r="C53" s="262"/>
      <c r="D53" s="262"/>
      <c r="E53" s="28"/>
      <c r="F53" s="28"/>
      <c r="G53" s="28"/>
      <c r="H53" s="28"/>
      <c r="I53" s="29"/>
      <c r="J53" s="28"/>
      <c r="K53" s="90"/>
      <c r="L53" s="90"/>
      <c r="M53" s="90"/>
    </row>
    <row r="54" spans="3:14" x14ac:dyDescent="0.25">
      <c r="C54" s="264" t="s">
        <v>734</v>
      </c>
      <c r="D54" s="264"/>
      <c r="E54" s="90"/>
      <c r="F54" s="90"/>
      <c r="G54" s="90"/>
      <c r="H54" s="90"/>
      <c r="I54" s="90"/>
      <c r="J54" s="90"/>
      <c r="K54" s="90"/>
      <c r="L54" s="90"/>
      <c r="M54" s="90"/>
    </row>
    <row r="55" spans="3:14" x14ac:dyDescent="0.25">
      <c r="C55" s="264" t="s">
        <v>155</v>
      </c>
      <c r="D55" s="264"/>
      <c r="E55" s="90"/>
      <c r="F55" s="90"/>
      <c r="G55" s="90"/>
      <c r="H55" s="90"/>
      <c r="I55" s="90"/>
      <c r="J55" s="90"/>
      <c r="K55" s="90"/>
      <c r="L55" s="90"/>
      <c r="M55" s="90"/>
    </row>
    <row r="56" spans="3:14" x14ac:dyDescent="0.25">
      <c r="C56" s="263" t="s">
        <v>157</v>
      </c>
      <c r="D56" s="261"/>
      <c r="E56" s="41"/>
      <c r="F56" s="41"/>
      <c r="G56" s="41"/>
      <c r="H56" s="41"/>
      <c r="I56" s="41"/>
      <c r="J56" s="41"/>
      <c r="K56" s="41"/>
      <c r="L56" s="90"/>
      <c r="M56" s="90"/>
    </row>
    <row r="57" spans="3:14" x14ac:dyDescent="0.25">
      <c r="D57" s="41"/>
      <c r="E57" s="41"/>
      <c r="F57" s="41"/>
      <c r="G57" s="41"/>
      <c r="H57" s="41"/>
      <c r="I57" s="41"/>
      <c r="J57" s="41"/>
      <c r="K57" s="41"/>
      <c r="L57" s="90"/>
      <c r="M57" s="90"/>
    </row>
    <row r="58" spans="3:14" x14ac:dyDescent="0.25">
      <c r="D58" s="28"/>
      <c r="E58" s="28"/>
      <c r="F58" s="28"/>
      <c r="G58" s="28"/>
      <c r="H58" s="29"/>
      <c r="I58" s="28"/>
      <c r="J58" s="41"/>
      <c r="K58" s="28"/>
      <c r="L58" s="90"/>
      <c r="M58" s="90"/>
    </row>
  </sheetData>
  <pageMargins left="0.7" right="0.7" top="0.75" bottom="0.75" header="0.3" footer="0.3"/>
  <pageSetup scale="57" orientation="landscape" verticalDpi="597" r:id="rId1"/>
  <drawing r:id="rId2"/>
  <legacyDrawing r:id="rId3"/>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6">
    <pageSetUpPr fitToPage="1"/>
  </sheetPr>
  <dimension ref="A6:S41"/>
  <sheetViews>
    <sheetView zoomScale="90" zoomScaleNormal="90" workbookViewId="0"/>
  </sheetViews>
  <sheetFormatPr defaultRowHeight="15" x14ac:dyDescent="0.25"/>
  <cols>
    <col min="1" max="1" width="7.140625" customWidth="1"/>
    <col min="2" max="2" width="11.140625" customWidth="1"/>
    <col min="3" max="3" width="6.42578125" customWidth="1"/>
    <col min="4" max="4" width="8.85546875" customWidth="1"/>
    <col min="5" max="5" width="8.140625" customWidth="1"/>
    <col min="6" max="6" width="8.85546875" customWidth="1"/>
    <col min="7" max="7" width="9.140625" customWidth="1"/>
    <col min="8" max="8" width="9.42578125" customWidth="1"/>
    <col min="10" max="10" width="8.7109375" customWidth="1"/>
    <col min="12" max="12" width="11" customWidth="1"/>
    <col min="13" max="13" width="6.7109375" customWidth="1"/>
    <col min="14" max="14" width="10.28515625" customWidth="1"/>
  </cols>
  <sheetData>
    <row r="6" spans="1:15" x14ac:dyDescent="0.25">
      <c r="A6" s="7" t="s">
        <v>12</v>
      </c>
      <c r="B6" s="28"/>
      <c r="C6" s="28"/>
      <c r="D6" s="28"/>
      <c r="E6" s="28"/>
      <c r="F6" s="28"/>
      <c r="G6" s="28"/>
      <c r="H6" s="28"/>
      <c r="I6" s="123"/>
      <c r="J6" s="28"/>
      <c r="K6" s="28"/>
      <c r="L6" s="28"/>
      <c r="M6" s="28"/>
      <c r="N6" s="28"/>
      <c r="O6" s="28"/>
    </row>
    <row r="7" spans="1:15" x14ac:dyDescent="0.25">
      <c r="A7" s="30" t="s">
        <v>13</v>
      </c>
      <c r="B7" s="128">
        <v>41366</v>
      </c>
    </row>
    <row r="8" spans="1:15" x14ac:dyDescent="0.25">
      <c r="A8" s="28" t="s">
        <v>14</v>
      </c>
      <c r="B8" s="126" t="s">
        <v>500</v>
      </c>
      <c r="C8" s="28"/>
      <c r="D8" s="28"/>
      <c r="E8" s="28"/>
      <c r="F8" s="28"/>
      <c r="G8" s="28"/>
      <c r="H8" s="28"/>
      <c r="I8" s="123"/>
      <c r="J8" s="28"/>
      <c r="K8" s="28" t="s">
        <v>34</v>
      </c>
      <c r="L8" s="28" t="s">
        <v>34</v>
      </c>
      <c r="M8" s="28"/>
      <c r="N8" s="28"/>
    </row>
    <row r="9" spans="1:15" x14ac:dyDescent="0.25">
      <c r="A9" s="28" t="s">
        <v>15</v>
      </c>
      <c r="B9" s="126">
        <v>5</v>
      </c>
      <c r="C9" s="28" t="s">
        <v>529</v>
      </c>
      <c r="D9" s="28"/>
      <c r="E9" s="28"/>
      <c r="F9" s="28"/>
      <c r="G9" s="28"/>
      <c r="H9" s="28"/>
      <c r="I9" s="123"/>
      <c r="J9" s="28"/>
      <c r="K9" s="28"/>
      <c r="L9" s="28"/>
      <c r="M9" s="28"/>
      <c r="N9" s="28"/>
    </row>
    <row r="10" spans="1:15" ht="15.75" x14ac:dyDescent="0.25">
      <c r="A10" s="28" t="s">
        <v>16</v>
      </c>
      <c r="B10" s="31">
        <v>2000</v>
      </c>
      <c r="C10" s="31" t="s">
        <v>725</v>
      </c>
      <c r="D10" s="28"/>
      <c r="E10" s="28"/>
      <c r="F10" s="28"/>
      <c r="G10" s="28"/>
      <c r="H10" s="28"/>
      <c r="I10" s="123" t="s">
        <v>34</v>
      </c>
      <c r="J10" s="28" t="s">
        <v>34</v>
      </c>
      <c r="K10" s="28" t="s">
        <v>34</v>
      </c>
      <c r="L10" s="28" t="s">
        <v>34</v>
      </c>
      <c r="M10" s="28" t="s">
        <v>34</v>
      </c>
      <c r="N10" s="28" t="s">
        <v>34</v>
      </c>
    </row>
    <row r="11" spans="1:15" x14ac:dyDescent="0.25">
      <c r="A11" s="28"/>
      <c r="B11" s="238">
        <v>1400000000</v>
      </c>
      <c r="C11" s="31" t="s">
        <v>717</v>
      </c>
      <c r="D11" s="28"/>
      <c r="E11" s="28"/>
      <c r="F11" s="28"/>
      <c r="G11" s="28"/>
      <c r="H11" s="28"/>
      <c r="I11" s="123"/>
      <c r="J11" s="28"/>
      <c r="K11" s="28" t="s">
        <v>34</v>
      </c>
      <c r="L11" s="28"/>
      <c r="M11" s="28"/>
      <c r="N11" s="28"/>
    </row>
    <row r="12" spans="1:15" x14ac:dyDescent="0.25">
      <c r="A12" s="28"/>
      <c r="B12" s="31">
        <v>95</v>
      </c>
      <c r="C12" s="31" t="s">
        <v>723</v>
      </c>
      <c r="D12" s="28"/>
      <c r="E12" s="28"/>
      <c r="F12" s="28"/>
      <c r="G12" s="28"/>
      <c r="H12" s="28"/>
      <c r="I12" s="123"/>
      <c r="J12" s="28"/>
      <c r="K12" s="28"/>
      <c r="L12" s="28"/>
      <c r="M12" s="28"/>
      <c r="N12" s="28"/>
    </row>
    <row r="13" spans="1:15" x14ac:dyDescent="0.25">
      <c r="A13" s="28"/>
      <c r="B13" s="244">
        <v>6</v>
      </c>
      <c r="C13" s="28" t="s">
        <v>697</v>
      </c>
      <c r="D13" s="28"/>
      <c r="E13" s="28"/>
      <c r="F13" s="28"/>
      <c r="G13" s="28"/>
      <c r="H13" s="28"/>
      <c r="I13" s="251"/>
      <c r="J13" s="28"/>
      <c r="K13" s="28"/>
      <c r="L13" s="28"/>
      <c r="M13" s="28"/>
      <c r="N13" s="28"/>
    </row>
    <row r="14" spans="1:15" x14ac:dyDescent="0.25">
      <c r="A14" s="28"/>
      <c r="B14" s="244">
        <v>100</v>
      </c>
      <c r="C14" s="87" t="s">
        <v>696</v>
      </c>
      <c r="D14" s="28"/>
      <c r="E14" s="28"/>
      <c r="F14" s="28"/>
      <c r="G14" s="28"/>
      <c r="H14" s="28"/>
      <c r="I14" s="251"/>
      <c r="J14" s="28"/>
      <c r="K14" s="28"/>
      <c r="L14" s="28"/>
      <c r="M14" s="28"/>
      <c r="N14" s="28"/>
    </row>
    <row r="15" spans="1:15" x14ac:dyDescent="0.25">
      <c r="A15" s="28"/>
      <c r="B15" s="244">
        <v>0</v>
      </c>
      <c r="C15" s="87" t="s">
        <v>698</v>
      </c>
      <c r="D15" s="28"/>
      <c r="E15" s="28"/>
      <c r="F15" s="28"/>
      <c r="G15" s="28"/>
      <c r="H15" s="28"/>
      <c r="I15" s="251"/>
      <c r="J15" s="28"/>
      <c r="K15" s="28"/>
      <c r="L15" s="28"/>
      <c r="M15" s="28"/>
      <c r="N15" s="28"/>
    </row>
    <row r="16" spans="1:15" x14ac:dyDescent="0.25">
      <c r="A16" s="28"/>
      <c r="B16" s="245">
        <f>(B12*B13/100*1000)/(B10+B12-B14+B15)*1000</f>
        <v>2857.1428571428573</v>
      </c>
      <c r="C16" s="28" t="s">
        <v>700</v>
      </c>
      <c r="D16" s="28"/>
      <c r="E16" s="28"/>
      <c r="F16" s="28"/>
      <c r="G16" s="28"/>
      <c r="H16" s="28"/>
      <c r="I16" s="251"/>
      <c r="J16" s="28"/>
      <c r="K16" s="28"/>
      <c r="L16" s="28"/>
      <c r="M16" s="28"/>
      <c r="N16" s="28"/>
    </row>
    <row r="17" spans="1:19" ht="15.75" thickBot="1" x14ac:dyDescent="0.3">
      <c r="A17" s="28"/>
      <c r="B17" s="28" t="s">
        <v>647</v>
      </c>
      <c r="C17" s="28"/>
      <c r="D17" s="28"/>
      <c r="E17" s="28"/>
      <c r="F17" s="28"/>
      <c r="G17" s="28"/>
      <c r="H17" s="28"/>
      <c r="I17" s="123"/>
      <c r="J17" s="28"/>
      <c r="K17" s="28"/>
      <c r="L17" s="28"/>
      <c r="M17" s="28"/>
      <c r="N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91">
        <v>4.2</v>
      </c>
      <c r="C19" s="105">
        <v>9.6</v>
      </c>
      <c r="D19" s="105">
        <v>9.24</v>
      </c>
      <c r="E19" s="91">
        <v>0.65</v>
      </c>
      <c r="F19" s="91">
        <v>0.46</v>
      </c>
      <c r="G19" s="105">
        <v>62.1</v>
      </c>
      <c r="H19" s="122">
        <v>7610</v>
      </c>
      <c r="I19" s="124">
        <v>13700000</v>
      </c>
      <c r="J19" s="125">
        <f>LOG(I$19)-LOG(I19)</f>
        <v>0</v>
      </c>
      <c r="K19" s="124">
        <v>24950000</v>
      </c>
      <c r="L19" s="91" t="s">
        <v>26</v>
      </c>
      <c r="M19" s="116"/>
      <c r="N19" s="119"/>
      <c r="O19" s="99"/>
      <c r="P19" s="233">
        <f>B$16*A19</f>
        <v>0</v>
      </c>
      <c r="Q19" s="233">
        <f>6/LINEST(J19:J21,P19:P21,FALSE)</f>
        <v>26552.111726986801</v>
      </c>
      <c r="R19" s="233">
        <f>Q19/3000</f>
        <v>8.8507039089955999</v>
      </c>
      <c r="S19" s="233">
        <f>(J27/LINEST($J19:$J21,$P19:$P21,FALSE))/$B$16</f>
        <v>11.058954534290002</v>
      </c>
    </row>
    <row r="20" spans="1:19" ht="15.75" thickBot="1" x14ac:dyDescent="0.3">
      <c r="A20" s="32">
        <v>3</v>
      </c>
      <c r="B20" s="103">
        <v>4.3</v>
      </c>
      <c r="C20" s="100">
        <v>6.98</v>
      </c>
      <c r="D20" s="100">
        <v>9.2100000000000009</v>
      </c>
      <c r="E20" s="58">
        <v>3300</v>
      </c>
      <c r="F20" s="58">
        <v>4.5999999999999999E-2</v>
      </c>
      <c r="G20" s="100">
        <v>60.4</v>
      </c>
      <c r="H20" s="113">
        <v>8190</v>
      </c>
      <c r="I20" s="124">
        <v>265000</v>
      </c>
      <c r="J20" s="125">
        <f>LOG(I$19)-LOG(I20)</f>
        <v>1.7134746932195988</v>
      </c>
      <c r="K20" s="124">
        <v>515800</v>
      </c>
      <c r="L20" s="50">
        <f>LOG(K19)-LOG(K20)</f>
        <v>1.6845892121574906</v>
      </c>
      <c r="M20" s="117"/>
      <c r="N20" s="120"/>
      <c r="O20" s="99"/>
      <c r="P20" s="233">
        <f>B$16*A20</f>
        <v>8571.4285714285725</v>
      </c>
      <c r="Q20" s="225"/>
    </row>
    <row r="21" spans="1:19" ht="15.75" thickBot="1" x14ac:dyDescent="0.3">
      <c r="A21" s="32">
        <v>5</v>
      </c>
      <c r="B21" s="103">
        <v>4.3</v>
      </c>
      <c r="C21" s="100">
        <v>6.89</v>
      </c>
      <c r="D21" s="100">
        <v>9.2100000000000009</v>
      </c>
      <c r="E21" s="58">
        <v>3100</v>
      </c>
      <c r="F21" s="58">
        <v>0.54</v>
      </c>
      <c r="G21" s="100">
        <v>62.6</v>
      </c>
      <c r="H21" s="113"/>
      <c r="I21" s="124">
        <v>5950</v>
      </c>
      <c r="J21" s="125">
        <f>LOG(I$19)-LOG(I21)</f>
        <v>3.3622036014278569</v>
      </c>
      <c r="K21" s="124">
        <v>4650</v>
      </c>
      <c r="L21" s="125">
        <f>LOG(K19)-LOG(K21)</f>
        <v>3.7296175970694549</v>
      </c>
      <c r="M21" s="117"/>
      <c r="N21" s="120"/>
      <c r="O21" s="99"/>
      <c r="P21" s="233">
        <f>B$16*A21</f>
        <v>14285.714285714286</v>
      </c>
    </row>
    <row r="22" spans="1:19" ht="15.75" thickBot="1" x14ac:dyDescent="0.3">
      <c r="A22" s="32">
        <v>10</v>
      </c>
      <c r="B22" s="103">
        <v>4.2</v>
      </c>
      <c r="C22" s="100">
        <v>6.77</v>
      </c>
      <c r="D22" s="100">
        <v>9.26</v>
      </c>
      <c r="E22" s="58">
        <v>3000</v>
      </c>
      <c r="F22" s="58">
        <v>0.52</v>
      </c>
      <c r="G22" s="100">
        <v>54.6</v>
      </c>
      <c r="H22" s="113"/>
      <c r="I22" s="124">
        <v>0</v>
      </c>
      <c r="J22" s="50" t="s">
        <v>498</v>
      </c>
      <c r="K22" s="124">
        <v>0</v>
      </c>
      <c r="L22" s="114" t="s">
        <v>499</v>
      </c>
      <c r="M22" s="117"/>
      <c r="N22" s="120"/>
      <c r="O22" s="99"/>
      <c r="P22" s="233">
        <f>B$16*A22</f>
        <v>28571.428571428572</v>
      </c>
    </row>
    <row r="23" spans="1:19" ht="15.75" thickBot="1" x14ac:dyDescent="0.3">
      <c r="A23" s="32">
        <v>15</v>
      </c>
      <c r="B23" s="103">
        <v>4.0999999999999996</v>
      </c>
      <c r="C23" s="100">
        <v>6.68</v>
      </c>
      <c r="D23" s="100">
        <v>9.2799999999999994</v>
      </c>
      <c r="E23" s="58">
        <v>2700</v>
      </c>
      <c r="F23" s="58">
        <v>0.4</v>
      </c>
      <c r="G23" s="100">
        <v>56.2</v>
      </c>
      <c r="H23" s="113"/>
      <c r="I23" s="124">
        <v>0</v>
      </c>
      <c r="J23" s="50" t="s">
        <v>498</v>
      </c>
      <c r="K23" s="124">
        <v>0</v>
      </c>
      <c r="L23" s="114" t="s">
        <v>499</v>
      </c>
      <c r="M23" s="118"/>
      <c r="N23" s="121"/>
      <c r="O23" s="99"/>
      <c r="P23" s="233">
        <f>B$16*A23</f>
        <v>42857.142857142862</v>
      </c>
    </row>
    <row r="24" spans="1:19" ht="15.75" thickBot="1" x14ac:dyDescent="0.3">
      <c r="A24" s="32">
        <v>30</v>
      </c>
      <c r="B24" s="103">
        <v>3.7</v>
      </c>
      <c r="C24" s="100">
        <v>6.62</v>
      </c>
      <c r="D24" s="100">
        <v>9.2899999999999991</v>
      </c>
      <c r="E24" s="58">
        <v>3100</v>
      </c>
      <c r="F24" s="58">
        <v>0.33</v>
      </c>
      <c r="G24" s="100">
        <v>59.4</v>
      </c>
      <c r="H24" s="113"/>
      <c r="I24" s="124">
        <v>0</v>
      </c>
      <c r="J24" s="50" t="s">
        <v>498</v>
      </c>
      <c r="K24" s="124">
        <v>0</v>
      </c>
      <c r="L24" s="114" t="s">
        <v>499</v>
      </c>
      <c r="M24" s="118"/>
      <c r="N24" s="121"/>
      <c r="O24" s="89"/>
      <c r="P24" s="233"/>
    </row>
    <row r="25" spans="1:19" ht="15.75" thickBot="1" x14ac:dyDescent="0.3">
      <c r="A25" s="32">
        <v>60</v>
      </c>
      <c r="B25" s="103">
        <v>3.2</v>
      </c>
      <c r="C25" s="100">
        <v>6.54</v>
      </c>
      <c r="D25" s="100">
        <v>9.2899999999999991</v>
      </c>
      <c r="E25" s="58">
        <v>3100</v>
      </c>
      <c r="F25" s="58">
        <v>0.33</v>
      </c>
      <c r="G25" s="100">
        <v>62.1</v>
      </c>
      <c r="H25" s="113">
        <v>8110</v>
      </c>
      <c r="I25" s="124">
        <v>0</v>
      </c>
      <c r="J25" s="50" t="s">
        <v>498</v>
      </c>
      <c r="K25" s="124">
        <v>0</v>
      </c>
      <c r="L25" s="114" t="s">
        <v>499</v>
      </c>
      <c r="M25" s="121">
        <v>132</v>
      </c>
      <c r="N25" s="121">
        <v>15646</v>
      </c>
      <c r="O25" s="89"/>
      <c r="P25" s="233"/>
    </row>
    <row r="26" spans="1:19" ht="15.75" thickBot="1" x14ac:dyDescent="0.3">
      <c r="A26" s="36" t="s">
        <v>497</v>
      </c>
      <c r="B26" s="103">
        <v>3.2</v>
      </c>
      <c r="C26" s="104">
        <v>6.52</v>
      </c>
      <c r="D26" s="104">
        <v>9.3000000000000007</v>
      </c>
      <c r="E26" s="60">
        <v>3000</v>
      </c>
      <c r="F26" s="60">
        <v>0.41</v>
      </c>
      <c r="G26" s="104">
        <v>63</v>
      </c>
      <c r="H26" s="121">
        <v>8120</v>
      </c>
      <c r="I26" s="124">
        <v>0</v>
      </c>
      <c r="J26" s="50" t="s">
        <v>498</v>
      </c>
      <c r="K26" s="124">
        <v>0</v>
      </c>
      <c r="L26" s="114" t="s">
        <v>499</v>
      </c>
      <c r="M26" s="121">
        <v>121</v>
      </c>
      <c r="N26" s="121">
        <v>15785</v>
      </c>
      <c r="O26" s="60">
        <v>5880</v>
      </c>
    </row>
    <row r="27" spans="1:19" x14ac:dyDescent="0.25">
      <c r="A27" s="92"/>
      <c r="B27" s="92">
        <f>AVERAGE(B20:B21)</f>
        <v>4.3</v>
      </c>
      <c r="C27" s="92">
        <f>AVERAGE(C20:C21)</f>
        <v>6.9350000000000005</v>
      </c>
      <c r="D27" s="92"/>
      <c r="E27" s="92"/>
      <c r="F27" s="92"/>
      <c r="G27" s="92"/>
      <c r="H27" s="92"/>
      <c r="I27" s="106"/>
      <c r="J27" s="148">
        <v>7.14</v>
      </c>
      <c r="K27" s="106"/>
      <c r="L27" s="92"/>
      <c r="M27" s="92"/>
      <c r="N27" s="92"/>
      <c r="O27" s="108"/>
    </row>
    <row r="28" spans="1:19" x14ac:dyDescent="0.25">
      <c r="A28" s="28" t="s">
        <v>140</v>
      </c>
      <c r="B28" s="28"/>
      <c r="C28" s="28"/>
      <c r="D28" s="28"/>
      <c r="E28" s="28"/>
      <c r="F28" s="28"/>
      <c r="G28" s="28"/>
      <c r="H28" s="28"/>
      <c r="I28" s="123"/>
      <c r="J28" s="115"/>
      <c r="K28" s="28"/>
      <c r="M28" s="28"/>
      <c r="N28" s="28"/>
    </row>
    <row r="29" spans="1:19" x14ac:dyDescent="0.25">
      <c r="A29" s="28"/>
      <c r="B29" s="28" t="s">
        <v>459</v>
      </c>
      <c r="C29" s="28"/>
      <c r="D29" s="28"/>
      <c r="E29" s="28"/>
      <c r="F29" s="28"/>
      <c r="G29" s="28"/>
      <c r="H29" s="28"/>
      <c r="I29" s="123"/>
      <c r="J29" s="28"/>
      <c r="K29" s="28" t="s">
        <v>34</v>
      </c>
      <c r="L29" s="28" t="s">
        <v>34</v>
      </c>
      <c r="M29" s="28" t="s">
        <v>34</v>
      </c>
      <c r="N29" s="28" t="s">
        <v>34</v>
      </c>
    </row>
    <row r="30" spans="1:19" x14ac:dyDescent="0.25">
      <c r="A30" s="28" t="s">
        <v>272</v>
      </c>
      <c r="B30" s="28"/>
      <c r="C30" s="28"/>
      <c r="D30" s="28"/>
      <c r="E30" s="28"/>
      <c r="F30" s="28"/>
      <c r="G30" s="28"/>
      <c r="H30" s="28"/>
      <c r="I30" s="123"/>
      <c r="J30" s="28"/>
      <c r="K30" s="28" t="s">
        <v>34</v>
      </c>
      <c r="L30" s="28" t="s">
        <v>34</v>
      </c>
      <c r="M30" s="28"/>
      <c r="N30" s="28"/>
    </row>
    <row r="31" spans="1:19" x14ac:dyDescent="0.25">
      <c r="A31" s="28"/>
      <c r="F31" s="28"/>
      <c r="G31" s="28"/>
      <c r="H31" s="28"/>
      <c r="I31" s="123"/>
      <c r="J31" s="28"/>
      <c r="K31" s="28" t="s">
        <v>34</v>
      </c>
      <c r="L31" s="28" t="s">
        <v>34</v>
      </c>
      <c r="M31" s="28" t="s">
        <v>34</v>
      </c>
      <c r="N31" s="28"/>
    </row>
    <row r="32" spans="1:19" x14ac:dyDescent="0.25">
      <c r="A32" s="28"/>
      <c r="F32" s="28"/>
      <c r="G32" s="28"/>
      <c r="H32" s="28"/>
      <c r="I32" s="129"/>
      <c r="J32" s="28"/>
      <c r="K32" s="28"/>
      <c r="L32" s="28"/>
      <c r="M32" s="28"/>
      <c r="N32" s="28"/>
    </row>
    <row r="33" spans="1:16" x14ac:dyDescent="0.25">
      <c r="A33" s="19" t="s">
        <v>28</v>
      </c>
      <c r="B33" s="28"/>
      <c r="C33" s="427"/>
      <c r="D33" s="427"/>
      <c r="E33" s="427"/>
      <c r="F33" s="427"/>
      <c r="G33" s="427"/>
      <c r="H33" s="427"/>
      <c r="I33" s="427"/>
      <c r="J33" s="427"/>
      <c r="K33" s="427"/>
      <c r="L33" s="427"/>
      <c r="M33" s="427"/>
      <c r="N33" s="427"/>
      <c r="O33" s="427"/>
      <c r="P33" s="427"/>
    </row>
    <row r="34" spans="1:16" x14ac:dyDescent="0.25">
      <c r="B34" s="22"/>
    </row>
    <row r="35" spans="1:16" x14ac:dyDescent="0.25">
      <c r="B35" s="22"/>
    </row>
    <row r="36" spans="1:16" x14ac:dyDescent="0.25">
      <c r="B36" s="22"/>
      <c r="C36" s="28"/>
      <c r="D36" s="28"/>
      <c r="E36" s="28"/>
      <c r="F36" s="28"/>
      <c r="G36" s="28"/>
      <c r="H36" s="28"/>
      <c r="I36" s="123"/>
      <c r="J36" s="28"/>
    </row>
    <row r="37" spans="1:16" x14ac:dyDescent="0.25">
      <c r="B37" s="22"/>
    </row>
    <row r="39" spans="1:16" x14ac:dyDescent="0.25">
      <c r="B39" s="41"/>
      <c r="C39" s="41"/>
      <c r="D39" s="41"/>
      <c r="E39" s="41"/>
      <c r="F39" s="41"/>
      <c r="G39" s="41"/>
      <c r="H39" s="41"/>
      <c r="I39" s="41"/>
      <c r="J39" s="41"/>
      <c r="K39" s="41"/>
    </row>
    <row r="40" spans="1:16" x14ac:dyDescent="0.25">
      <c r="B40" s="41"/>
      <c r="C40" s="41"/>
      <c r="D40" s="41"/>
      <c r="E40" s="41"/>
      <c r="F40" s="41"/>
      <c r="G40" s="41"/>
      <c r="H40" s="41"/>
      <c r="I40" s="41"/>
      <c r="J40" s="41"/>
      <c r="K40" s="41"/>
    </row>
    <row r="41" spans="1:16" x14ac:dyDescent="0.25">
      <c r="B41" s="22"/>
      <c r="C41" s="28"/>
      <c r="D41" s="28"/>
      <c r="E41" s="28"/>
      <c r="F41" s="28"/>
      <c r="G41" s="28"/>
      <c r="H41" s="123"/>
      <c r="I41" s="28"/>
      <c r="J41" s="41"/>
      <c r="K41" s="28"/>
    </row>
  </sheetData>
  <mergeCells count="1">
    <mergeCell ref="C33:P33"/>
  </mergeCells>
  <pageMargins left="0.7" right="0.7" top="0.75" bottom="0.75" header="0.3" footer="0.3"/>
  <pageSetup scale="77" orientation="landscape" verticalDpi="597" r:id="rId1"/>
  <drawing r:id="rId2"/>
  <legacyDrawing r:id="rId3"/>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7">
    <pageSetUpPr fitToPage="1"/>
  </sheetPr>
  <dimension ref="A6:S48"/>
  <sheetViews>
    <sheetView zoomScale="90" zoomScaleNormal="90" workbookViewId="0"/>
  </sheetViews>
  <sheetFormatPr defaultRowHeight="15" x14ac:dyDescent="0.25"/>
  <cols>
    <col min="1" max="1" width="7.140625" customWidth="1"/>
    <col min="2" max="2" width="11.140625" customWidth="1"/>
    <col min="3" max="3" width="6.42578125" customWidth="1"/>
    <col min="4" max="4" width="8.85546875" customWidth="1"/>
    <col min="5" max="5" width="8.140625" customWidth="1"/>
    <col min="6" max="6" width="8.85546875" customWidth="1"/>
    <col min="7" max="7" width="9.140625" customWidth="1"/>
    <col min="8" max="8" width="9.42578125" customWidth="1"/>
    <col min="10" max="10" width="7.7109375" customWidth="1"/>
    <col min="12" max="12" width="11" customWidth="1"/>
    <col min="13" max="13" width="6.7109375" customWidth="1"/>
    <col min="14" max="14" width="10.28515625" customWidth="1"/>
  </cols>
  <sheetData>
    <row r="6" spans="1:15" x14ac:dyDescent="0.25">
      <c r="A6" s="7" t="s">
        <v>12</v>
      </c>
      <c r="B6" s="28"/>
      <c r="C6" s="28"/>
      <c r="D6" s="28"/>
      <c r="E6" s="28"/>
      <c r="F6" s="28"/>
      <c r="G6" s="28"/>
      <c r="H6" s="28"/>
      <c r="I6" s="126"/>
      <c r="J6" s="28"/>
      <c r="K6" s="28"/>
      <c r="L6" s="28"/>
      <c r="M6" s="28"/>
      <c r="N6" s="28"/>
      <c r="O6" s="28"/>
    </row>
    <row r="7" spans="1:15" x14ac:dyDescent="0.25">
      <c r="A7" s="30" t="s">
        <v>13</v>
      </c>
      <c r="B7" s="128">
        <v>41380</v>
      </c>
    </row>
    <row r="8" spans="1:15" x14ac:dyDescent="0.25">
      <c r="A8" s="28" t="s">
        <v>14</v>
      </c>
      <c r="B8" s="126" t="s">
        <v>501</v>
      </c>
      <c r="C8" s="28"/>
      <c r="D8" s="28"/>
      <c r="E8" s="28"/>
      <c r="F8" s="28"/>
      <c r="G8" s="28"/>
      <c r="H8" s="28"/>
      <c r="I8" s="126"/>
      <c r="J8" s="28"/>
      <c r="K8" s="28" t="s">
        <v>34</v>
      </c>
      <c r="L8" s="28" t="s">
        <v>34</v>
      </c>
      <c r="M8" s="28"/>
      <c r="N8" s="28"/>
    </row>
    <row r="9" spans="1:15" x14ac:dyDescent="0.25">
      <c r="A9" s="28" t="s">
        <v>15</v>
      </c>
      <c r="B9" s="126">
        <v>5</v>
      </c>
      <c r="C9" s="28" t="s">
        <v>529</v>
      </c>
      <c r="D9" s="28"/>
      <c r="E9" s="28"/>
      <c r="F9" s="28"/>
      <c r="G9" s="28"/>
      <c r="H9" s="28"/>
      <c r="I9" s="126"/>
      <c r="J9" s="28"/>
      <c r="K9" s="28"/>
      <c r="L9" s="28"/>
      <c r="M9" s="28"/>
      <c r="N9" s="28"/>
    </row>
    <row r="10" spans="1:15" ht="15.75" x14ac:dyDescent="0.25">
      <c r="A10" s="28" t="s">
        <v>16</v>
      </c>
      <c r="B10">
        <v>2000</v>
      </c>
      <c r="C10" s="31" t="s">
        <v>725</v>
      </c>
      <c r="D10" s="28"/>
      <c r="E10" s="28"/>
      <c r="F10" s="28"/>
      <c r="G10" s="28"/>
      <c r="H10" s="28"/>
      <c r="I10" s="126" t="s">
        <v>34</v>
      </c>
      <c r="J10" s="28" t="s">
        <v>34</v>
      </c>
      <c r="K10" s="28" t="s">
        <v>34</v>
      </c>
      <c r="L10" s="28" t="s">
        <v>34</v>
      </c>
      <c r="M10" s="28" t="s">
        <v>34</v>
      </c>
      <c r="N10" s="28" t="s">
        <v>34</v>
      </c>
    </row>
    <row r="11" spans="1:15" x14ac:dyDescent="0.25">
      <c r="A11" s="28"/>
      <c r="B11" s="243">
        <v>1400000000</v>
      </c>
      <c r="C11" s="31" t="s">
        <v>717</v>
      </c>
      <c r="D11" s="28"/>
      <c r="E11" s="28"/>
      <c r="F11" s="28"/>
      <c r="G11" s="28"/>
      <c r="H11" s="28"/>
      <c r="I11" s="126"/>
      <c r="J11" s="28"/>
      <c r="K11" s="28" t="s">
        <v>34</v>
      </c>
      <c r="L11" s="28"/>
      <c r="M11" s="28"/>
      <c r="N11" s="28"/>
    </row>
    <row r="12" spans="1:15" x14ac:dyDescent="0.25">
      <c r="A12" s="28"/>
      <c r="B12">
        <v>95</v>
      </c>
      <c r="C12" s="31" t="s">
        <v>701</v>
      </c>
      <c r="D12" s="28"/>
      <c r="E12" s="28"/>
      <c r="F12" s="28"/>
      <c r="G12" s="28"/>
      <c r="H12" s="28"/>
      <c r="I12" s="126"/>
      <c r="J12" s="28"/>
      <c r="K12" s="28"/>
      <c r="L12" s="28"/>
      <c r="M12" s="28"/>
      <c r="N12" s="28"/>
    </row>
    <row r="13" spans="1:15" x14ac:dyDescent="0.25">
      <c r="A13" s="28"/>
      <c r="B13" s="244">
        <v>6</v>
      </c>
      <c r="C13" s="28" t="s">
        <v>697</v>
      </c>
      <c r="D13" s="28"/>
      <c r="E13" s="28"/>
      <c r="F13" s="28"/>
      <c r="G13" s="28"/>
      <c r="H13" s="28"/>
      <c r="I13" s="251"/>
      <c r="J13" s="28"/>
      <c r="K13" s="28"/>
      <c r="L13" s="28"/>
      <c r="M13" s="28"/>
      <c r="N13" s="28"/>
    </row>
    <row r="14" spans="1:15" x14ac:dyDescent="0.25">
      <c r="A14" s="28"/>
      <c r="B14" s="244">
        <v>100</v>
      </c>
      <c r="C14" s="87" t="s">
        <v>696</v>
      </c>
      <c r="D14" s="28"/>
      <c r="E14" s="28"/>
      <c r="F14" s="28"/>
      <c r="G14" s="28"/>
      <c r="H14" s="28"/>
      <c r="I14" s="251"/>
      <c r="J14" s="28"/>
      <c r="K14" s="28"/>
      <c r="L14" s="28"/>
      <c r="M14" s="28"/>
      <c r="N14" s="28"/>
    </row>
    <row r="15" spans="1:15" x14ac:dyDescent="0.25">
      <c r="A15" s="28"/>
      <c r="B15" s="244">
        <v>0</v>
      </c>
      <c r="C15" s="87" t="s">
        <v>698</v>
      </c>
      <c r="D15" s="28"/>
      <c r="E15" s="28"/>
      <c r="F15" s="28"/>
      <c r="G15" s="28"/>
      <c r="H15" s="28"/>
      <c r="I15" s="251"/>
      <c r="J15" s="28"/>
      <c r="K15" s="28"/>
      <c r="L15" s="28"/>
      <c r="M15" s="28"/>
      <c r="N15" s="28"/>
    </row>
    <row r="16" spans="1:15" x14ac:dyDescent="0.25">
      <c r="A16" s="28"/>
      <c r="B16" s="245">
        <f>(B12*B13/100*1000)/(B10+B12-B14+B15)*1000</f>
        <v>2857.1428571428573</v>
      </c>
      <c r="C16" s="28" t="s">
        <v>700</v>
      </c>
      <c r="D16" s="28"/>
      <c r="E16" s="28"/>
      <c r="F16" s="28"/>
      <c r="G16" s="28"/>
      <c r="H16" s="28"/>
      <c r="I16" s="251"/>
      <c r="J16" s="28"/>
      <c r="K16" s="28"/>
      <c r="L16" s="28"/>
      <c r="M16" s="28"/>
      <c r="N16" s="28"/>
    </row>
    <row r="17" spans="1:19" ht="15.75" thickBot="1" x14ac:dyDescent="0.3">
      <c r="A17" s="28"/>
      <c r="B17" s="28" t="s">
        <v>647</v>
      </c>
      <c r="C17" s="28"/>
      <c r="D17" s="28"/>
      <c r="E17" s="28"/>
      <c r="F17" s="28"/>
      <c r="G17" s="28"/>
      <c r="H17" s="28"/>
      <c r="I17" s="126"/>
      <c r="J17" s="28"/>
      <c r="K17" s="28"/>
      <c r="L17" s="28"/>
      <c r="M17" s="28"/>
      <c r="N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91">
        <v>3.1</v>
      </c>
      <c r="C19" s="105">
        <v>9.52</v>
      </c>
      <c r="D19" s="105">
        <v>9.52</v>
      </c>
      <c r="E19" s="91">
        <v>0.61</v>
      </c>
      <c r="F19" s="91">
        <v>0.51</v>
      </c>
      <c r="G19" s="105">
        <v>21.1</v>
      </c>
      <c r="H19" s="122">
        <v>2680</v>
      </c>
      <c r="I19" s="124">
        <v>18200000</v>
      </c>
      <c r="J19" s="125">
        <f>LOG(I$19)-LOG(I19)</f>
        <v>0</v>
      </c>
      <c r="K19" s="124">
        <v>21000000</v>
      </c>
      <c r="L19" s="252" t="s">
        <v>26</v>
      </c>
      <c r="M19" s="116"/>
      <c r="N19" s="119"/>
      <c r="O19" s="99"/>
      <c r="P19" s="233">
        <f>B$16*A19</f>
        <v>0</v>
      </c>
      <c r="Q19" s="233">
        <f>6/LINEST(J19:J22,P19:P22,FALSE)</f>
        <v>35034.461845557918</v>
      </c>
      <c r="R19" s="233">
        <f>Q19/3000</f>
        <v>11.678153948519306</v>
      </c>
      <c r="S19" s="233">
        <f>(J26/LINEST($J19:$J22,$P19:$P22,FALSE))/$B$16</f>
        <v>14.837094591593779</v>
      </c>
    </row>
    <row r="20" spans="1:19" ht="15.75" thickBot="1" x14ac:dyDescent="0.3">
      <c r="A20" s="32">
        <v>3</v>
      </c>
      <c r="B20" s="103">
        <v>3.7</v>
      </c>
      <c r="C20" s="100">
        <v>9.5299999999999994</v>
      </c>
      <c r="D20" s="100">
        <v>10.16</v>
      </c>
      <c r="E20" s="58">
        <v>3200</v>
      </c>
      <c r="F20" s="58">
        <v>0.56000000000000005</v>
      </c>
      <c r="G20" s="100">
        <v>21.8</v>
      </c>
      <c r="H20" s="113">
        <v>2470</v>
      </c>
      <c r="I20" s="124">
        <v>710000</v>
      </c>
      <c r="J20" s="125">
        <f>LOG(I$19)-LOG(I20)</f>
        <v>1.4088130392659997</v>
      </c>
      <c r="K20" s="124">
        <v>589000</v>
      </c>
      <c r="L20" s="253">
        <f>LOG(K19)-LOG(K20)</f>
        <v>1.5521039999468176</v>
      </c>
      <c r="M20" s="117"/>
      <c r="N20" s="120"/>
      <c r="O20" s="99"/>
      <c r="P20" s="233">
        <f>B$16*A20</f>
        <v>8571.4285714285725</v>
      </c>
      <c r="Q20" s="225"/>
    </row>
    <row r="21" spans="1:19" ht="15.75" thickBot="1" x14ac:dyDescent="0.3">
      <c r="A21" s="32">
        <v>5</v>
      </c>
      <c r="B21" s="103">
        <v>3.7</v>
      </c>
      <c r="C21" s="100">
        <v>9.5299999999999994</v>
      </c>
      <c r="D21" s="100">
        <v>10.26</v>
      </c>
      <c r="E21" s="58">
        <v>3000</v>
      </c>
      <c r="F21" s="58">
        <v>0.38</v>
      </c>
      <c r="G21" s="100">
        <v>18.8</v>
      </c>
      <c r="H21" s="113"/>
      <c r="I21" s="124">
        <v>13000</v>
      </c>
      <c r="J21" s="125">
        <f>LOG(I$19)-LOG(I21)</f>
        <v>3.1461280356782382</v>
      </c>
      <c r="K21" s="124">
        <v>1800</v>
      </c>
      <c r="L21" s="254">
        <f>LOG(K19)-LOG(K21)</f>
        <v>4.0669467896306131</v>
      </c>
      <c r="M21" s="117"/>
      <c r="N21" s="120"/>
      <c r="O21" s="99"/>
      <c r="P21" s="233">
        <f>B$16*A21</f>
        <v>14285.714285714286</v>
      </c>
    </row>
    <row r="22" spans="1:19" ht="15.75" thickBot="1" x14ac:dyDescent="0.3">
      <c r="A22" s="32">
        <v>10</v>
      </c>
      <c r="B22" s="103">
        <v>3.6</v>
      </c>
      <c r="C22" s="100">
        <v>9.5299999999999994</v>
      </c>
      <c r="D22" s="100">
        <v>10.27</v>
      </c>
      <c r="E22" s="58">
        <v>3000</v>
      </c>
      <c r="F22" s="58">
        <v>0.38</v>
      </c>
      <c r="G22" s="100">
        <v>17.8</v>
      </c>
      <c r="H22" s="113"/>
      <c r="I22" s="124">
        <v>500</v>
      </c>
      <c r="J22" s="125">
        <f>LOG(I$19)-LOG(I22)</f>
        <v>4.5611013836490564</v>
      </c>
      <c r="K22" s="124">
        <v>0</v>
      </c>
      <c r="L22" s="254" t="s">
        <v>503</v>
      </c>
      <c r="M22" s="117"/>
      <c r="N22" s="120"/>
      <c r="O22" s="99"/>
      <c r="P22" s="233">
        <f>B$16*A22</f>
        <v>28571.428571428572</v>
      </c>
    </row>
    <row r="23" spans="1:19" ht="15.75" thickBot="1" x14ac:dyDescent="0.3">
      <c r="A23" s="32">
        <v>15</v>
      </c>
      <c r="B23" s="103">
        <v>3.5</v>
      </c>
      <c r="C23" s="100">
        <v>9.5399999999999991</v>
      </c>
      <c r="D23" s="100">
        <v>10.25</v>
      </c>
      <c r="E23" s="58">
        <v>3000</v>
      </c>
      <c r="F23" s="58">
        <v>0.5</v>
      </c>
      <c r="G23" s="100">
        <v>19.7</v>
      </c>
      <c r="H23" s="113"/>
      <c r="I23" s="124">
        <v>0</v>
      </c>
      <c r="J23" s="50" t="s">
        <v>327</v>
      </c>
      <c r="K23" s="124">
        <v>0</v>
      </c>
      <c r="L23" s="254" t="s">
        <v>503</v>
      </c>
      <c r="M23" s="118"/>
      <c r="N23" s="121"/>
      <c r="O23" s="99"/>
      <c r="P23" s="233">
        <f>B$16*A23</f>
        <v>42857.142857142862</v>
      </c>
    </row>
    <row r="24" spans="1:19" ht="15.75" thickBot="1" x14ac:dyDescent="0.3">
      <c r="A24" s="32">
        <v>30</v>
      </c>
      <c r="B24" s="103">
        <v>3.4</v>
      </c>
      <c r="C24" s="100">
        <v>9.57</v>
      </c>
      <c r="D24" s="100">
        <v>10.24</v>
      </c>
      <c r="E24" s="58">
        <v>3200</v>
      </c>
      <c r="F24" s="58">
        <v>0.28000000000000003</v>
      </c>
      <c r="G24" s="100">
        <v>21.7</v>
      </c>
      <c r="H24" s="113">
        <v>2650</v>
      </c>
      <c r="I24" s="124">
        <v>0</v>
      </c>
      <c r="J24" s="50" t="s">
        <v>327</v>
      </c>
      <c r="K24" s="124">
        <v>0</v>
      </c>
      <c r="L24" s="254" t="s">
        <v>503</v>
      </c>
      <c r="M24" s="118">
        <v>52</v>
      </c>
      <c r="N24" s="121">
        <v>3071</v>
      </c>
      <c r="O24" s="89"/>
      <c r="P24" s="233"/>
    </row>
    <row r="25" spans="1:19" ht="15.75" thickBot="1" x14ac:dyDescent="0.3">
      <c r="A25" s="32" t="s">
        <v>502</v>
      </c>
      <c r="B25" s="103">
        <v>3.4</v>
      </c>
      <c r="C25" s="100">
        <v>9.58</v>
      </c>
      <c r="D25" s="100">
        <v>10.15</v>
      </c>
      <c r="E25" s="58">
        <v>3000</v>
      </c>
      <c r="F25" s="58">
        <v>0.25</v>
      </c>
      <c r="G25" s="100">
        <v>21.9</v>
      </c>
      <c r="H25" s="113">
        <v>2450</v>
      </c>
      <c r="I25" s="124">
        <v>0</v>
      </c>
      <c r="J25" s="50" t="s">
        <v>327</v>
      </c>
      <c r="K25" s="124">
        <v>0</v>
      </c>
      <c r="L25" s="254" t="s">
        <v>503</v>
      </c>
      <c r="M25" s="121">
        <v>63</v>
      </c>
      <c r="N25" s="121">
        <v>3162</v>
      </c>
      <c r="O25" s="89">
        <v>6240</v>
      </c>
      <c r="P25" s="233"/>
    </row>
    <row r="26" spans="1:19" x14ac:dyDescent="0.25">
      <c r="A26" s="92"/>
      <c r="B26" s="92">
        <f>AVERAGE(B20:B22)</f>
        <v>3.6666666666666665</v>
      </c>
      <c r="C26" s="92">
        <f>AVERAGE(C20:C22)</f>
        <v>9.5299999999999994</v>
      </c>
      <c r="D26" s="92"/>
      <c r="E26" s="92"/>
      <c r="F26" s="92"/>
      <c r="G26" s="92"/>
      <c r="H26" s="92"/>
      <c r="I26" s="106"/>
      <c r="J26" s="148">
        <v>7.26</v>
      </c>
      <c r="K26" s="106"/>
      <c r="L26" s="92"/>
      <c r="M26" s="92"/>
      <c r="N26" s="92"/>
      <c r="O26" s="108"/>
    </row>
    <row r="27" spans="1:19" x14ac:dyDescent="0.25">
      <c r="A27" s="28" t="s">
        <v>140</v>
      </c>
      <c r="B27" s="28"/>
      <c r="C27" s="28"/>
      <c r="D27" s="28"/>
      <c r="E27" s="28"/>
      <c r="F27" s="28"/>
      <c r="G27" s="28"/>
      <c r="H27" s="28"/>
      <c r="I27" s="126"/>
      <c r="J27" s="115"/>
      <c r="K27" s="28"/>
      <c r="M27" s="28"/>
      <c r="N27" s="28"/>
    </row>
    <row r="28" spans="1:19" x14ac:dyDescent="0.25">
      <c r="A28" s="28"/>
      <c r="B28" s="28" t="s">
        <v>459</v>
      </c>
      <c r="C28" s="28"/>
      <c r="D28" s="28"/>
      <c r="E28" s="28"/>
      <c r="F28" s="28"/>
      <c r="G28" s="28"/>
      <c r="H28" s="28"/>
      <c r="I28" s="126"/>
      <c r="J28" s="28"/>
      <c r="K28" s="28" t="s">
        <v>34</v>
      </c>
      <c r="L28" s="28" t="s">
        <v>34</v>
      </c>
      <c r="M28" s="28" t="s">
        <v>34</v>
      </c>
      <c r="N28" s="28" t="s">
        <v>34</v>
      </c>
    </row>
    <row r="29" spans="1:19" x14ac:dyDescent="0.25">
      <c r="A29" s="28" t="s">
        <v>272</v>
      </c>
      <c r="B29" s="28"/>
      <c r="C29" s="28"/>
      <c r="D29" s="28"/>
      <c r="E29" s="28"/>
      <c r="F29" s="28"/>
      <c r="G29" s="28"/>
      <c r="H29" s="28"/>
      <c r="I29" s="126"/>
      <c r="J29" s="28"/>
      <c r="K29" s="28" t="s">
        <v>34</v>
      </c>
      <c r="L29" s="28" t="s">
        <v>34</v>
      </c>
      <c r="M29" s="28"/>
      <c r="N29" s="28"/>
    </row>
    <row r="30" spans="1:19" x14ac:dyDescent="0.25">
      <c r="A30" s="28"/>
      <c r="F30" s="28"/>
      <c r="G30" s="28"/>
      <c r="H30" s="28"/>
      <c r="I30" s="126"/>
      <c r="J30" s="28"/>
      <c r="K30" s="28" t="s">
        <v>34</v>
      </c>
      <c r="L30" s="28" t="s">
        <v>34</v>
      </c>
      <c r="M30" s="28" t="s">
        <v>34</v>
      </c>
      <c r="N30" s="28"/>
    </row>
    <row r="31" spans="1:19" x14ac:dyDescent="0.25">
      <c r="A31" s="28"/>
      <c r="F31" s="28"/>
      <c r="G31" s="28"/>
      <c r="H31" s="28"/>
      <c r="I31" s="129"/>
      <c r="J31" s="28"/>
      <c r="K31" s="28"/>
      <c r="L31" s="28"/>
      <c r="M31" s="28"/>
      <c r="N31" s="28"/>
    </row>
    <row r="32" spans="1:19" x14ac:dyDescent="0.25">
      <c r="A32" s="19" t="s">
        <v>28</v>
      </c>
      <c r="B32" s="28"/>
      <c r="C32" s="427"/>
      <c r="D32" s="427"/>
      <c r="E32" s="427"/>
      <c r="F32" s="427"/>
      <c r="G32" s="427"/>
      <c r="H32" s="427"/>
      <c r="I32" s="427"/>
      <c r="J32" s="427"/>
      <c r="K32" s="427"/>
      <c r="L32" s="427"/>
      <c r="M32" s="427"/>
      <c r="N32" s="427"/>
      <c r="O32" s="427"/>
      <c r="P32" s="427"/>
    </row>
    <row r="33" spans="1:16" x14ac:dyDescent="0.25">
      <c r="A33" s="28"/>
      <c r="B33" s="22"/>
      <c r="C33" s="427" t="s">
        <v>506</v>
      </c>
      <c r="D33" s="427"/>
      <c r="E33" s="427"/>
      <c r="F33" s="427"/>
      <c r="G33" s="427"/>
      <c r="H33" s="427"/>
      <c r="I33" s="427"/>
      <c r="J33" s="427"/>
      <c r="K33" s="427"/>
      <c r="L33" s="427"/>
      <c r="M33" s="427"/>
      <c r="N33" s="427"/>
      <c r="O33" s="427"/>
      <c r="P33" s="427"/>
    </row>
    <row r="34" spans="1:16" x14ac:dyDescent="0.25">
      <c r="A34" s="28"/>
      <c r="B34" s="41"/>
      <c r="C34" s="41" t="s">
        <v>504</v>
      </c>
      <c r="D34" s="41"/>
      <c r="E34" s="41"/>
      <c r="F34" s="41"/>
      <c r="G34" s="41"/>
      <c r="H34" s="41"/>
      <c r="I34" s="41"/>
      <c r="J34" s="41"/>
      <c r="K34" s="41"/>
      <c r="L34" s="41"/>
      <c r="M34" s="28"/>
      <c r="N34" s="28"/>
    </row>
    <row r="35" spans="1:16" x14ac:dyDescent="0.25">
      <c r="A35" s="28"/>
      <c r="B35" s="41"/>
      <c r="C35" s="41" t="s">
        <v>505</v>
      </c>
      <c r="D35" s="41"/>
      <c r="E35" s="41"/>
      <c r="F35" s="41"/>
      <c r="G35" s="41"/>
      <c r="H35" s="41"/>
      <c r="I35" s="41"/>
      <c r="J35" s="41"/>
      <c r="K35" s="41"/>
      <c r="L35" s="41"/>
      <c r="M35" s="28"/>
      <c r="N35" s="28"/>
    </row>
    <row r="36" spans="1:16" x14ac:dyDescent="0.25">
      <c r="A36" s="28"/>
      <c r="B36" s="22"/>
      <c r="C36" s="28" t="s">
        <v>507</v>
      </c>
      <c r="D36" s="28"/>
      <c r="E36" s="28"/>
      <c r="F36" s="28"/>
      <c r="G36" s="28"/>
      <c r="H36" s="28"/>
      <c r="I36" s="126"/>
      <c r="J36" s="28"/>
      <c r="K36" s="28"/>
      <c r="L36" s="28"/>
      <c r="M36" s="28"/>
      <c r="N36" s="28"/>
    </row>
    <row r="37" spans="1:16" x14ac:dyDescent="0.25">
      <c r="A37" s="28"/>
      <c r="B37" s="41"/>
      <c r="C37" s="41"/>
      <c r="D37" s="41"/>
      <c r="E37" s="41"/>
      <c r="F37" s="41"/>
      <c r="G37" s="41"/>
      <c r="H37" s="41"/>
      <c r="I37" s="41"/>
      <c r="J37" s="41"/>
      <c r="K37" s="41"/>
      <c r="L37" s="41"/>
      <c r="M37" s="28"/>
      <c r="N37" s="28"/>
    </row>
    <row r="38" spans="1:16" x14ac:dyDescent="0.25">
      <c r="B38" s="428"/>
      <c r="C38" s="428"/>
      <c r="D38" s="428"/>
      <c r="E38" s="428"/>
      <c r="F38" s="428"/>
      <c r="G38" s="428"/>
      <c r="H38" s="428"/>
      <c r="I38" s="428"/>
      <c r="J38" s="428"/>
      <c r="K38" s="428"/>
      <c r="L38" s="428"/>
      <c r="M38" s="428"/>
      <c r="N38" s="428"/>
    </row>
    <row r="39" spans="1:16" x14ac:dyDescent="0.25">
      <c r="B39" s="127"/>
      <c r="C39" s="127"/>
      <c r="D39" s="127"/>
      <c r="E39" s="127"/>
      <c r="F39" s="127"/>
      <c r="G39" s="127"/>
      <c r="H39" s="127"/>
      <c r="I39" s="127"/>
      <c r="J39" s="127"/>
      <c r="K39" s="127"/>
      <c r="L39" s="127"/>
      <c r="M39" s="127"/>
      <c r="N39" s="127"/>
    </row>
    <row r="40" spans="1:16" x14ac:dyDescent="0.25">
      <c r="B40" s="41"/>
      <c r="C40" s="64"/>
      <c r="D40" s="64"/>
      <c r="E40" s="64"/>
      <c r="F40" s="64"/>
      <c r="G40" s="64"/>
      <c r="H40" s="64"/>
      <c r="I40" s="64"/>
      <c r="J40" s="64"/>
      <c r="K40" s="64"/>
      <c r="L40" s="65"/>
    </row>
    <row r="41" spans="1:16" x14ac:dyDescent="0.25">
      <c r="B41" s="22"/>
    </row>
    <row r="42" spans="1:16" x14ac:dyDescent="0.25">
      <c r="B42" s="22"/>
    </row>
    <row r="43" spans="1:16" x14ac:dyDescent="0.25">
      <c r="B43" s="22"/>
      <c r="C43" s="28"/>
      <c r="D43" s="28"/>
      <c r="E43" s="28"/>
      <c r="F43" s="28"/>
      <c r="G43" s="28"/>
      <c r="H43" s="28"/>
      <c r="I43" s="126"/>
      <c r="J43" s="28"/>
    </row>
    <row r="44" spans="1:16" x14ac:dyDescent="0.25">
      <c r="B44" s="22"/>
    </row>
    <row r="46" spans="1:16" x14ac:dyDescent="0.25">
      <c r="B46" s="41"/>
      <c r="C46" s="41"/>
      <c r="D46" s="41"/>
      <c r="E46" s="41"/>
      <c r="F46" s="41"/>
      <c r="G46" s="41"/>
      <c r="H46" s="41"/>
      <c r="I46" s="41"/>
      <c r="J46" s="41"/>
      <c r="K46" s="41"/>
    </row>
    <row r="47" spans="1:16" x14ac:dyDescent="0.25">
      <c r="B47" s="41"/>
      <c r="C47" s="41"/>
      <c r="D47" s="41"/>
      <c r="E47" s="41"/>
      <c r="F47" s="41"/>
      <c r="G47" s="41"/>
      <c r="H47" s="41"/>
      <c r="I47" s="41"/>
      <c r="J47" s="41"/>
      <c r="K47" s="41"/>
    </row>
    <row r="48" spans="1:16" x14ac:dyDescent="0.25">
      <c r="B48" s="22"/>
      <c r="C48" s="28"/>
      <c r="D48" s="28"/>
      <c r="E48" s="28"/>
      <c r="F48" s="28"/>
      <c r="G48" s="28"/>
      <c r="H48" s="126"/>
      <c r="I48" s="28"/>
      <c r="J48" s="41"/>
      <c r="K48" s="28"/>
    </row>
  </sheetData>
  <mergeCells count="3">
    <mergeCell ref="C32:P32"/>
    <mergeCell ref="B38:N38"/>
    <mergeCell ref="C33:P33"/>
  </mergeCells>
  <pageMargins left="0.7" right="0.7" top="0.75" bottom="0.75" header="0.3" footer="0.3"/>
  <pageSetup scale="77" orientation="landscape" verticalDpi="597"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3"/>
  <sheetViews>
    <sheetView zoomScale="80" zoomScaleNormal="80" workbookViewId="0">
      <selection activeCell="G2" sqref="G2"/>
    </sheetView>
  </sheetViews>
  <sheetFormatPr defaultRowHeight="15" x14ac:dyDescent="0.25"/>
  <cols>
    <col min="1" max="1" width="11.28515625" customWidth="1"/>
    <col min="4" max="4" width="12.85546875" customWidth="1"/>
    <col min="6" max="6" width="19.7109375" customWidth="1"/>
  </cols>
  <sheetData>
    <row r="1" spans="1:6" ht="15.75" x14ac:dyDescent="0.25">
      <c r="A1" s="424" t="s">
        <v>59</v>
      </c>
      <c r="B1" s="42"/>
      <c r="C1" s="43">
        <v>0.05</v>
      </c>
      <c r="D1" s="42"/>
      <c r="E1" s="42" t="s">
        <v>63</v>
      </c>
      <c r="F1" s="42"/>
    </row>
    <row r="2" spans="1:6" ht="35.25" thickBot="1" x14ac:dyDescent="0.3">
      <c r="A2" s="425"/>
      <c r="B2" s="44" t="s">
        <v>60</v>
      </c>
      <c r="C2" s="44" t="s">
        <v>61</v>
      </c>
      <c r="D2" s="44" t="s">
        <v>62</v>
      </c>
      <c r="E2" s="44" t="s">
        <v>64</v>
      </c>
      <c r="F2" s="44" t="s">
        <v>65</v>
      </c>
    </row>
    <row r="3" spans="1:6" ht="19.5" thickBot="1" x14ac:dyDescent="0.3">
      <c r="A3" s="80" t="s">
        <v>66</v>
      </c>
      <c r="B3" s="81" t="s">
        <v>67</v>
      </c>
      <c r="C3" s="81" t="s">
        <v>68</v>
      </c>
      <c r="D3" s="82" t="s">
        <v>69</v>
      </c>
      <c r="E3" s="81">
        <v>20</v>
      </c>
      <c r="F3" s="81" t="s">
        <v>70</v>
      </c>
    </row>
    <row r="4" spans="1:6" ht="19.5" thickBot="1" x14ac:dyDescent="0.3">
      <c r="A4" s="45" t="s">
        <v>71</v>
      </c>
      <c r="B4" s="44" t="s">
        <v>72</v>
      </c>
      <c r="C4" s="44" t="s">
        <v>68</v>
      </c>
      <c r="D4" s="46" t="s">
        <v>69</v>
      </c>
      <c r="E4" s="44">
        <v>20</v>
      </c>
      <c r="F4" s="44" t="s">
        <v>70</v>
      </c>
    </row>
    <row r="5" spans="1:6" ht="19.5" thickBot="1" x14ac:dyDescent="0.3">
      <c r="A5" s="80" t="s">
        <v>73</v>
      </c>
      <c r="B5" s="81" t="s">
        <v>74</v>
      </c>
      <c r="C5" s="81" t="s">
        <v>68</v>
      </c>
      <c r="D5" s="82" t="s">
        <v>69</v>
      </c>
      <c r="E5" s="81">
        <v>20</v>
      </c>
      <c r="F5" s="81" t="s">
        <v>70</v>
      </c>
    </row>
    <row r="6" spans="1:6" ht="19.5" thickBot="1" x14ac:dyDescent="0.3">
      <c r="A6" s="45" t="s">
        <v>75</v>
      </c>
      <c r="B6" s="44" t="s">
        <v>76</v>
      </c>
      <c r="C6" s="44" t="s">
        <v>68</v>
      </c>
      <c r="D6" s="46" t="s">
        <v>69</v>
      </c>
      <c r="E6" s="44">
        <v>20</v>
      </c>
      <c r="F6" s="44" t="s">
        <v>70</v>
      </c>
    </row>
    <row r="7" spans="1:6" ht="19.5" thickBot="1" x14ac:dyDescent="0.3">
      <c r="A7" s="80" t="s">
        <v>77</v>
      </c>
      <c r="B7" s="81" t="s">
        <v>78</v>
      </c>
      <c r="C7" s="81" t="s">
        <v>68</v>
      </c>
      <c r="D7" s="82" t="s">
        <v>69</v>
      </c>
      <c r="E7" s="81">
        <v>20</v>
      </c>
      <c r="F7" s="81" t="s">
        <v>70</v>
      </c>
    </row>
    <row r="8" spans="1:6" ht="19.5" thickBot="1" x14ac:dyDescent="0.3">
      <c r="A8" s="45" t="s">
        <v>79</v>
      </c>
      <c r="B8" s="44" t="s">
        <v>80</v>
      </c>
      <c r="C8" s="44" t="s">
        <v>68</v>
      </c>
      <c r="D8" s="46" t="s">
        <v>69</v>
      </c>
      <c r="E8" s="44">
        <v>20</v>
      </c>
      <c r="F8" s="44" t="s">
        <v>70</v>
      </c>
    </row>
    <row r="9" spans="1:6" ht="19.5" thickBot="1" x14ac:dyDescent="0.3">
      <c r="A9" s="80" t="s">
        <v>81</v>
      </c>
      <c r="B9" s="81" t="s">
        <v>82</v>
      </c>
      <c r="C9" s="81" t="s">
        <v>68</v>
      </c>
      <c r="D9" s="82" t="s">
        <v>69</v>
      </c>
      <c r="E9" s="81">
        <v>20</v>
      </c>
      <c r="F9" s="81" t="s">
        <v>70</v>
      </c>
    </row>
    <row r="10" spans="1:6" ht="19.5" thickBot="1" x14ac:dyDescent="0.3">
      <c r="A10" s="45" t="s">
        <v>83</v>
      </c>
      <c r="B10" s="44" t="s">
        <v>84</v>
      </c>
      <c r="C10" s="44" t="s">
        <v>68</v>
      </c>
      <c r="D10" s="46" t="s">
        <v>69</v>
      </c>
      <c r="E10" s="44">
        <v>20</v>
      </c>
      <c r="F10" s="44" t="s">
        <v>70</v>
      </c>
    </row>
    <row r="11" spans="1:6" ht="19.5" thickBot="1" x14ac:dyDescent="0.3">
      <c r="A11" s="80" t="s">
        <v>85</v>
      </c>
      <c r="B11" s="81" t="s">
        <v>86</v>
      </c>
      <c r="C11" s="81" t="s">
        <v>68</v>
      </c>
      <c r="D11" s="82" t="s">
        <v>69</v>
      </c>
      <c r="E11" s="81">
        <v>20</v>
      </c>
      <c r="F11" s="81" t="s">
        <v>70</v>
      </c>
    </row>
    <row r="12" spans="1:6" ht="19.5" thickBot="1" x14ac:dyDescent="0.3">
      <c r="A12" s="80" t="s">
        <v>87</v>
      </c>
      <c r="B12" s="81" t="s">
        <v>88</v>
      </c>
      <c r="C12" s="81" t="s">
        <v>68</v>
      </c>
      <c r="D12" s="82" t="s">
        <v>69</v>
      </c>
      <c r="E12" s="81">
        <v>20</v>
      </c>
      <c r="F12" s="81" t="s">
        <v>70</v>
      </c>
    </row>
    <row r="13" spans="1:6" ht="19.5" thickBot="1" x14ac:dyDescent="0.3">
      <c r="A13" s="80" t="s">
        <v>89</v>
      </c>
      <c r="B13" s="81" t="s">
        <v>90</v>
      </c>
      <c r="C13" s="81" t="s">
        <v>68</v>
      </c>
      <c r="D13" s="82" t="s">
        <v>69</v>
      </c>
      <c r="E13" s="81">
        <v>20</v>
      </c>
      <c r="F13" s="81" t="s">
        <v>70</v>
      </c>
    </row>
    <row r="14" spans="1:6" ht="19.5" thickBot="1" x14ac:dyDescent="0.3">
      <c r="A14" s="80" t="s">
        <v>91</v>
      </c>
      <c r="B14" s="81" t="s">
        <v>67</v>
      </c>
      <c r="C14" s="81" t="s">
        <v>68</v>
      </c>
      <c r="D14" s="82" t="s">
        <v>69</v>
      </c>
      <c r="E14" s="81">
        <v>4</v>
      </c>
      <c r="F14" s="81" t="s">
        <v>70</v>
      </c>
    </row>
    <row r="15" spans="1:6" ht="19.5" thickBot="1" x14ac:dyDescent="0.3">
      <c r="A15" s="45" t="s">
        <v>92</v>
      </c>
      <c r="B15" s="44" t="s">
        <v>72</v>
      </c>
      <c r="C15" s="44" t="s">
        <v>68</v>
      </c>
      <c r="D15" s="46" t="s">
        <v>69</v>
      </c>
      <c r="E15" s="44">
        <v>4</v>
      </c>
      <c r="F15" s="44" t="s">
        <v>70</v>
      </c>
    </row>
    <row r="16" spans="1:6" ht="19.5" thickBot="1" x14ac:dyDescent="0.3">
      <c r="A16" s="80" t="s">
        <v>93</v>
      </c>
      <c r="B16" s="81" t="s">
        <v>74</v>
      </c>
      <c r="C16" s="81" t="s">
        <v>68</v>
      </c>
      <c r="D16" s="82" t="s">
        <v>69</v>
      </c>
      <c r="E16" s="81">
        <v>4</v>
      </c>
      <c r="F16" s="81" t="s">
        <v>70</v>
      </c>
    </row>
    <row r="17" spans="1:6" ht="19.5" thickBot="1" x14ac:dyDescent="0.3">
      <c r="A17" s="45" t="s">
        <v>94</v>
      </c>
      <c r="B17" s="44" t="s">
        <v>76</v>
      </c>
      <c r="C17" s="44" t="s">
        <v>68</v>
      </c>
      <c r="D17" s="46" t="s">
        <v>69</v>
      </c>
      <c r="E17" s="44">
        <v>4</v>
      </c>
      <c r="F17" s="44" t="s">
        <v>70</v>
      </c>
    </row>
    <row r="18" spans="1:6" ht="19.5" thickBot="1" x14ac:dyDescent="0.3">
      <c r="A18" s="80" t="s">
        <v>95</v>
      </c>
      <c r="B18" s="81" t="s">
        <v>78</v>
      </c>
      <c r="C18" s="81" t="s">
        <v>68</v>
      </c>
      <c r="D18" s="82" t="s">
        <v>69</v>
      </c>
      <c r="E18" s="81">
        <v>4</v>
      </c>
      <c r="F18" s="81" t="s">
        <v>70</v>
      </c>
    </row>
    <row r="19" spans="1:6" ht="19.5" thickBot="1" x14ac:dyDescent="0.3">
      <c r="A19" s="45" t="s">
        <v>96</v>
      </c>
      <c r="B19" s="44" t="s">
        <v>80</v>
      </c>
      <c r="C19" s="44" t="s">
        <v>68</v>
      </c>
      <c r="D19" s="46" t="s">
        <v>69</v>
      </c>
      <c r="E19" s="44">
        <v>4</v>
      </c>
      <c r="F19" s="44" t="s">
        <v>70</v>
      </c>
    </row>
    <row r="20" spans="1:6" ht="19.5" thickBot="1" x14ac:dyDescent="0.3">
      <c r="A20" s="80" t="s">
        <v>97</v>
      </c>
      <c r="B20" s="81" t="s">
        <v>82</v>
      </c>
      <c r="C20" s="81" t="s">
        <v>68</v>
      </c>
      <c r="D20" s="82" t="s">
        <v>69</v>
      </c>
      <c r="E20" s="81">
        <v>4</v>
      </c>
      <c r="F20" s="81" t="s">
        <v>70</v>
      </c>
    </row>
    <row r="21" spans="1:6" ht="19.5" thickBot="1" x14ac:dyDescent="0.3">
      <c r="A21" s="45" t="s">
        <v>98</v>
      </c>
      <c r="B21" s="44" t="s">
        <v>84</v>
      </c>
      <c r="C21" s="44" t="s">
        <v>68</v>
      </c>
      <c r="D21" s="46" t="s">
        <v>69</v>
      </c>
      <c r="E21" s="44">
        <v>4</v>
      </c>
      <c r="F21" s="44" t="s">
        <v>70</v>
      </c>
    </row>
    <row r="22" spans="1:6" ht="19.5" thickBot="1" x14ac:dyDescent="0.3">
      <c r="A22" s="80" t="s">
        <v>99</v>
      </c>
      <c r="B22" s="81" t="s">
        <v>86</v>
      </c>
      <c r="C22" s="81" t="s">
        <v>68</v>
      </c>
      <c r="D22" s="82" t="s">
        <v>69</v>
      </c>
      <c r="E22" s="81">
        <v>4</v>
      </c>
      <c r="F22" s="81" t="s">
        <v>70</v>
      </c>
    </row>
    <row r="23" spans="1:6" ht="19.5" thickBot="1" x14ac:dyDescent="0.3">
      <c r="A23" s="80" t="s">
        <v>100</v>
      </c>
      <c r="B23" s="81" t="s">
        <v>88</v>
      </c>
      <c r="C23" s="81" t="s">
        <v>68</v>
      </c>
      <c r="D23" s="82" t="s">
        <v>69</v>
      </c>
      <c r="E23" s="81">
        <v>4</v>
      </c>
      <c r="F23" s="81" t="s">
        <v>70</v>
      </c>
    </row>
    <row r="24" spans="1:6" ht="19.5" thickBot="1" x14ac:dyDescent="0.3">
      <c r="A24" s="80" t="s">
        <v>101</v>
      </c>
      <c r="B24" s="81" t="s">
        <v>90</v>
      </c>
      <c r="C24" s="81" t="s">
        <v>68</v>
      </c>
      <c r="D24" s="82" t="s">
        <v>69</v>
      </c>
      <c r="E24" s="81">
        <v>4</v>
      </c>
      <c r="F24" s="81" t="s">
        <v>70</v>
      </c>
    </row>
    <row r="25" spans="1:6" ht="19.5" thickBot="1" x14ac:dyDescent="0.3">
      <c r="A25" s="45" t="s">
        <v>102</v>
      </c>
      <c r="B25" s="44" t="s">
        <v>74</v>
      </c>
      <c r="C25" s="44" t="s">
        <v>103</v>
      </c>
      <c r="D25" s="46" t="s">
        <v>69</v>
      </c>
      <c r="E25" s="44">
        <v>20</v>
      </c>
      <c r="F25" s="44" t="s">
        <v>70</v>
      </c>
    </row>
    <row r="26" spans="1:6" ht="19.5" thickBot="1" x14ac:dyDescent="0.3">
      <c r="A26" s="45" t="s">
        <v>104</v>
      </c>
      <c r="B26" s="44" t="s">
        <v>88</v>
      </c>
      <c r="C26" s="44" t="s">
        <v>103</v>
      </c>
      <c r="D26" s="46" t="s">
        <v>69</v>
      </c>
      <c r="E26" s="44">
        <v>20</v>
      </c>
      <c r="F26" s="44" t="s">
        <v>70</v>
      </c>
    </row>
    <row r="27" spans="1:6" ht="19.5" thickBot="1" x14ac:dyDescent="0.3">
      <c r="A27" s="45" t="s">
        <v>105</v>
      </c>
      <c r="B27" s="44" t="s">
        <v>74</v>
      </c>
      <c r="C27" s="44" t="s">
        <v>103</v>
      </c>
      <c r="D27" s="46" t="s">
        <v>69</v>
      </c>
      <c r="E27" s="44">
        <v>4</v>
      </c>
      <c r="F27" s="44" t="s">
        <v>70</v>
      </c>
    </row>
    <row r="28" spans="1:6" ht="19.5" thickBot="1" x14ac:dyDescent="0.3">
      <c r="A28" s="45" t="s">
        <v>106</v>
      </c>
      <c r="B28" s="44" t="s">
        <v>88</v>
      </c>
      <c r="C28" s="44" t="s">
        <v>103</v>
      </c>
      <c r="D28" s="46" t="s">
        <v>69</v>
      </c>
      <c r="E28" s="44">
        <v>4</v>
      </c>
      <c r="F28" s="44" t="s">
        <v>70</v>
      </c>
    </row>
    <row r="29" spans="1:6" ht="19.5" thickBot="1" x14ac:dyDescent="0.3">
      <c r="A29" s="45" t="s">
        <v>107</v>
      </c>
      <c r="B29" s="44" t="s">
        <v>74</v>
      </c>
      <c r="C29" s="44" t="s">
        <v>68</v>
      </c>
      <c r="D29" s="46" t="s">
        <v>69</v>
      </c>
      <c r="E29" s="44">
        <v>20</v>
      </c>
      <c r="F29" s="44" t="s">
        <v>70</v>
      </c>
    </row>
    <row r="30" spans="1:6" ht="19.5" thickBot="1" x14ac:dyDescent="0.3">
      <c r="A30" s="45" t="s">
        <v>108</v>
      </c>
      <c r="B30" s="44" t="s">
        <v>88</v>
      </c>
      <c r="C30" s="44" t="s">
        <v>68</v>
      </c>
      <c r="D30" s="46" t="s">
        <v>69</v>
      </c>
      <c r="E30" s="44">
        <v>20</v>
      </c>
      <c r="F30" s="44" t="s">
        <v>70</v>
      </c>
    </row>
    <row r="31" spans="1:6" ht="19.5" thickBot="1" x14ac:dyDescent="0.3">
      <c r="A31" s="45" t="s">
        <v>109</v>
      </c>
      <c r="B31" s="44" t="s">
        <v>74</v>
      </c>
      <c r="C31" s="44" t="s">
        <v>68</v>
      </c>
      <c r="D31" s="46" t="s">
        <v>69</v>
      </c>
      <c r="E31" s="44">
        <v>4</v>
      </c>
      <c r="F31" s="44" t="s">
        <v>70</v>
      </c>
    </row>
    <row r="32" spans="1:6" ht="19.5" thickBot="1" x14ac:dyDescent="0.3">
      <c r="A32" s="45" t="s">
        <v>110</v>
      </c>
      <c r="B32" s="44" t="s">
        <v>88</v>
      </c>
      <c r="C32" s="44" t="s">
        <v>68</v>
      </c>
      <c r="D32" s="46" t="s">
        <v>69</v>
      </c>
      <c r="E32" s="44">
        <v>4</v>
      </c>
      <c r="F32" s="44" t="s">
        <v>70</v>
      </c>
    </row>
    <row r="33" spans="1:6" ht="19.5" thickBot="1" x14ac:dyDescent="0.3">
      <c r="A33" s="45" t="s">
        <v>111</v>
      </c>
      <c r="B33" s="44" t="s">
        <v>74</v>
      </c>
      <c r="C33" s="44" t="s">
        <v>103</v>
      </c>
      <c r="D33" s="46" t="s">
        <v>69</v>
      </c>
      <c r="E33" s="44">
        <v>20</v>
      </c>
      <c r="F33" s="44" t="s">
        <v>70</v>
      </c>
    </row>
    <row r="34" spans="1:6" ht="19.5" thickBot="1" x14ac:dyDescent="0.3">
      <c r="A34" s="45" t="s">
        <v>112</v>
      </c>
      <c r="B34" s="44" t="s">
        <v>74</v>
      </c>
      <c r="C34" s="44" t="s">
        <v>103</v>
      </c>
      <c r="D34" s="46" t="s">
        <v>69</v>
      </c>
      <c r="E34" s="44">
        <v>4</v>
      </c>
      <c r="F34" s="44" t="s">
        <v>70</v>
      </c>
    </row>
    <row r="35" spans="1:6" ht="19.5" thickBot="1" x14ac:dyDescent="0.3">
      <c r="A35" s="133" t="s">
        <v>414</v>
      </c>
      <c r="B35" s="134" t="s">
        <v>415</v>
      </c>
      <c r="C35" s="134" t="s">
        <v>68</v>
      </c>
      <c r="D35" s="135" t="s">
        <v>69</v>
      </c>
      <c r="E35" s="134">
        <v>20</v>
      </c>
      <c r="F35" s="134" t="s">
        <v>70</v>
      </c>
    </row>
    <row r="36" spans="1:6" ht="19.5" thickBot="1" x14ac:dyDescent="0.3">
      <c r="A36" s="80" t="s">
        <v>416</v>
      </c>
      <c r="B36" s="81" t="s">
        <v>415</v>
      </c>
      <c r="C36" s="81" t="s">
        <v>68</v>
      </c>
      <c r="D36" s="82" t="s">
        <v>69</v>
      </c>
      <c r="E36" s="81">
        <v>4</v>
      </c>
      <c r="F36" s="81" t="s">
        <v>70</v>
      </c>
    </row>
    <row r="37" spans="1:6" ht="19.5" thickBot="1" x14ac:dyDescent="0.3">
      <c r="A37" s="133" t="s">
        <v>596</v>
      </c>
      <c r="B37" s="134" t="s">
        <v>598</v>
      </c>
      <c r="C37" s="134" t="s">
        <v>68</v>
      </c>
      <c r="D37" s="135" t="s">
        <v>69</v>
      </c>
      <c r="E37" s="134">
        <v>20</v>
      </c>
      <c r="F37" s="134" t="s">
        <v>70</v>
      </c>
    </row>
    <row r="38" spans="1:6" ht="19.5" thickBot="1" x14ac:dyDescent="0.3">
      <c r="A38" s="80" t="s">
        <v>597</v>
      </c>
      <c r="B38" s="81" t="s">
        <v>598</v>
      </c>
      <c r="C38" s="81" t="s">
        <v>68</v>
      </c>
      <c r="D38" s="82" t="s">
        <v>69</v>
      </c>
      <c r="E38" s="81">
        <v>4</v>
      </c>
      <c r="F38" s="81" t="s">
        <v>70</v>
      </c>
    </row>
    <row r="40" spans="1:6" ht="18.75" x14ac:dyDescent="0.25">
      <c r="A40" s="47" t="s">
        <v>113</v>
      </c>
    </row>
    <row r="41" spans="1:6" ht="15.75" x14ac:dyDescent="0.25">
      <c r="A41" s="48" t="s">
        <v>114</v>
      </c>
    </row>
    <row r="42" spans="1:6" ht="15.75" x14ac:dyDescent="0.25">
      <c r="A42" s="48" t="s">
        <v>115</v>
      </c>
    </row>
    <row r="43" spans="1:6" ht="15.75" x14ac:dyDescent="0.25">
      <c r="A43" s="48" t="s">
        <v>116</v>
      </c>
    </row>
    <row r="44" spans="1:6" ht="15.75" x14ac:dyDescent="0.25">
      <c r="A44" s="48" t="s">
        <v>117</v>
      </c>
    </row>
    <row r="45" spans="1:6" ht="15.75" x14ac:dyDescent="0.25">
      <c r="A45" s="48" t="s">
        <v>124</v>
      </c>
    </row>
    <row r="46" spans="1:6" ht="15.75" x14ac:dyDescent="0.25">
      <c r="A46" s="48" t="s">
        <v>118</v>
      </c>
    </row>
    <row r="47" spans="1:6" ht="15.75" x14ac:dyDescent="0.25">
      <c r="A47" s="48" t="s">
        <v>119</v>
      </c>
    </row>
    <row r="48" spans="1:6" ht="15.75" x14ac:dyDescent="0.25">
      <c r="A48" s="48" t="s">
        <v>123</v>
      </c>
    </row>
    <row r="49" spans="1:1" ht="15.75" x14ac:dyDescent="0.25">
      <c r="A49" s="48" t="s">
        <v>120</v>
      </c>
    </row>
    <row r="50" spans="1:1" ht="15.75" x14ac:dyDescent="0.25">
      <c r="A50" s="48" t="s">
        <v>121</v>
      </c>
    </row>
    <row r="51" spans="1:1" ht="15.75" x14ac:dyDescent="0.25">
      <c r="A51" s="48" t="s">
        <v>417</v>
      </c>
    </row>
    <row r="52" spans="1:1" ht="15.75" x14ac:dyDescent="0.25">
      <c r="A52" s="48" t="s">
        <v>599</v>
      </c>
    </row>
    <row r="53" spans="1:1" ht="18.75" x14ac:dyDescent="0.25">
      <c r="A53" s="49" t="s">
        <v>122</v>
      </c>
    </row>
  </sheetData>
  <mergeCells count="1">
    <mergeCell ref="A1:A2"/>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9">
    <pageSetUpPr fitToPage="1"/>
  </sheetPr>
  <dimension ref="A6:S45"/>
  <sheetViews>
    <sheetView zoomScale="90" zoomScaleNormal="90" workbookViewId="0"/>
  </sheetViews>
  <sheetFormatPr defaultRowHeight="15" x14ac:dyDescent="0.25"/>
  <cols>
    <col min="1" max="1" width="7.140625" customWidth="1"/>
    <col min="2" max="2" width="11.140625" customWidth="1"/>
    <col min="3" max="3" width="6.42578125" customWidth="1"/>
    <col min="4" max="4" width="8.85546875" customWidth="1"/>
    <col min="5" max="5" width="8.140625" customWidth="1"/>
    <col min="6" max="6" width="8.85546875" customWidth="1"/>
    <col min="7" max="7" width="9.140625" customWidth="1"/>
    <col min="8" max="8" width="9.42578125" customWidth="1"/>
    <col min="10" max="10" width="8.5703125" customWidth="1"/>
    <col min="12" max="12" width="11" customWidth="1"/>
    <col min="13" max="13" width="6.7109375" customWidth="1"/>
    <col min="14" max="14" width="10.28515625" customWidth="1"/>
  </cols>
  <sheetData>
    <row r="6" spans="1:15" x14ac:dyDescent="0.25">
      <c r="A6" s="7" t="s">
        <v>12</v>
      </c>
      <c r="B6" s="28"/>
      <c r="C6" s="28"/>
      <c r="D6" s="28"/>
      <c r="E6" s="28"/>
      <c r="F6" s="28"/>
      <c r="G6" s="28"/>
      <c r="H6" s="28"/>
      <c r="I6" s="130"/>
      <c r="J6" s="28"/>
      <c r="K6" s="28"/>
      <c r="L6" s="28"/>
      <c r="M6" s="28"/>
      <c r="N6" s="28"/>
      <c r="O6" s="28"/>
    </row>
    <row r="7" spans="1:15" x14ac:dyDescent="0.25">
      <c r="A7" s="30" t="s">
        <v>13</v>
      </c>
      <c r="B7" s="128">
        <v>41395</v>
      </c>
    </row>
    <row r="8" spans="1:15" x14ac:dyDescent="0.25">
      <c r="A8" s="28" t="s">
        <v>14</v>
      </c>
      <c r="B8" s="130" t="s">
        <v>511</v>
      </c>
      <c r="C8" s="28"/>
      <c r="D8" s="28"/>
      <c r="E8" s="28"/>
      <c r="F8" s="28"/>
      <c r="G8" s="28"/>
      <c r="H8" s="28"/>
      <c r="I8" s="130"/>
      <c r="J8" s="28"/>
      <c r="K8" s="28" t="s">
        <v>34</v>
      </c>
      <c r="L8" s="28" t="s">
        <v>34</v>
      </c>
      <c r="M8" s="28"/>
      <c r="N8" s="28"/>
    </row>
    <row r="9" spans="1:15" x14ac:dyDescent="0.25">
      <c r="A9" s="28" t="s">
        <v>15</v>
      </c>
      <c r="B9" s="130">
        <v>5</v>
      </c>
      <c r="C9" s="28" t="s">
        <v>529</v>
      </c>
      <c r="D9" s="28"/>
      <c r="E9" s="28"/>
      <c r="F9" s="28"/>
      <c r="G9" s="28"/>
      <c r="H9" s="28"/>
      <c r="I9" s="130"/>
      <c r="J9" s="28"/>
      <c r="K9" s="28"/>
      <c r="L9" s="28"/>
      <c r="M9" s="28"/>
      <c r="N9" s="28"/>
    </row>
    <row r="10" spans="1:15" ht="15.75" x14ac:dyDescent="0.25">
      <c r="A10" s="28" t="s">
        <v>16</v>
      </c>
      <c r="B10">
        <v>2000</v>
      </c>
      <c r="C10" s="31" t="s">
        <v>725</v>
      </c>
      <c r="D10" s="28"/>
      <c r="E10" s="28"/>
      <c r="F10" s="28"/>
      <c r="G10" s="28"/>
      <c r="H10" s="28"/>
      <c r="I10" s="130" t="s">
        <v>34</v>
      </c>
      <c r="J10" s="28" t="s">
        <v>34</v>
      </c>
      <c r="K10" s="28" t="s">
        <v>34</v>
      </c>
      <c r="L10" s="28" t="s">
        <v>34</v>
      </c>
      <c r="M10" s="28" t="s">
        <v>34</v>
      </c>
      <c r="N10" s="28" t="s">
        <v>34</v>
      </c>
    </row>
    <row r="11" spans="1:15" x14ac:dyDescent="0.25">
      <c r="A11" s="28"/>
      <c r="B11" s="243">
        <v>1400000000</v>
      </c>
      <c r="C11" s="31" t="s">
        <v>717</v>
      </c>
      <c r="D11" s="28"/>
      <c r="E11" s="28"/>
      <c r="F11" s="28"/>
      <c r="G11" s="28"/>
      <c r="H11" s="28"/>
      <c r="I11" s="130"/>
      <c r="J11" s="28"/>
      <c r="K11" s="28" t="s">
        <v>34</v>
      </c>
      <c r="L11" s="28"/>
      <c r="M11" s="28"/>
      <c r="N11" s="28"/>
    </row>
    <row r="12" spans="1:15" x14ac:dyDescent="0.25">
      <c r="A12" s="28"/>
      <c r="B12">
        <v>95</v>
      </c>
      <c r="C12" s="31" t="s">
        <v>701</v>
      </c>
      <c r="D12" s="28"/>
      <c r="E12" s="28"/>
      <c r="F12" s="28"/>
      <c r="G12" s="28"/>
      <c r="H12" s="28"/>
      <c r="I12" s="130"/>
      <c r="J12" s="28"/>
      <c r="K12" s="28"/>
      <c r="L12" s="28"/>
      <c r="M12" s="28"/>
      <c r="N12" s="28"/>
    </row>
    <row r="13" spans="1:15" x14ac:dyDescent="0.25">
      <c r="A13" s="28"/>
      <c r="B13" s="244">
        <v>6</v>
      </c>
      <c r="C13" s="28" t="s">
        <v>697</v>
      </c>
      <c r="D13" s="28"/>
      <c r="E13" s="28"/>
      <c r="F13" s="28"/>
      <c r="G13" s="28"/>
      <c r="H13" s="28"/>
      <c r="I13" s="251"/>
      <c r="J13" s="28"/>
      <c r="K13" s="28"/>
      <c r="L13" s="28"/>
      <c r="M13" s="28"/>
      <c r="N13" s="28"/>
    </row>
    <row r="14" spans="1:15" x14ac:dyDescent="0.25">
      <c r="A14" s="28"/>
      <c r="B14" s="244">
        <v>100</v>
      </c>
      <c r="C14" s="87" t="s">
        <v>696</v>
      </c>
      <c r="D14" s="28"/>
      <c r="E14" s="28"/>
      <c r="F14" s="28"/>
      <c r="G14" s="28"/>
      <c r="H14" s="28"/>
      <c r="I14" s="251"/>
      <c r="J14" s="28"/>
      <c r="K14" s="28"/>
      <c r="L14" s="28"/>
      <c r="M14" s="28"/>
      <c r="N14" s="28"/>
    </row>
    <row r="15" spans="1:15" x14ac:dyDescent="0.25">
      <c r="A15" s="28"/>
      <c r="B15" s="244">
        <v>0</v>
      </c>
      <c r="C15" s="87" t="s">
        <v>698</v>
      </c>
      <c r="D15" s="28"/>
      <c r="E15" s="28"/>
      <c r="F15" s="28"/>
      <c r="G15" s="28"/>
      <c r="H15" s="28"/>
      <c r="I15" s="251"/>
      <c r="J15" s="28"/>
      <c r="K15" s="28"/>
      <c r="L15" s="28"/>
      <c r="M15" s="28"/>
      <c r="N15" s="28"/>
    </row>
    <row r="16" spans="1:15" x14ac:dyDescent="0.25">
      <c r="A16" s="28"/>
      <c r="B16" s="245">
        <f>(B12*B13/100*1000)/(B10+B12-B14+B15)*1000</f>
        <v>2857.1428571428573</v>
      </c>
      <c r="C16" s="28" t="s">
        <v>700</v>
      </c>
      <c r="D16" s="28"/>
      <c r="E16" s="28"/>
      <c r="F16" s="28"/>
      <c r="G16" s="28"/>
      <c r="H16" s="28"/>
      <c r="I16" s="251"/>
      <c r="J16" s="28"/>
      <c r="K16" s="28"/>
      <c r="L16" s="28"/>
      <c r="M16" s="28"/>
      <c r="N16" s="28"/>
    </row>
    <row r="17" spans="1:19" ht="15.75" thickBot="1" x14ac:dyDescent="0.3">
      <c r="A17" s="28"/>
      <c r="B17" s="28" t="s">
        <v>647</v>
      </c>
      <c r="C17" s="28"/>
      <c r="D17" s="28"/>
      <c r="E17" s="28"/>
      <c r="F17" s="28"/>
      <c r="G17" s="28"/>
      <c r="H17" s="28"/>
      <c r="I17" s="130"/>
      <c r="J17" s="28"/>
      <c r="K17" s="28"/>
      <c r="L17" s="28"/>
      <c r="M17" s="28"/>
      <c r="N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91">
        <v>3.7</v>
      </c>
      <c r="C19" s="105">
        <v>9.5</v>
      </c>
      <c r="D19" s="105">
        <v>9.16</v>
      </c>
      <c r="E19" s="91">
        <v>0.4</v>
      </c>
      <c r="F19" s="91">
        <v>0.26</v>
      </c>
      <c r="G19" s="105">
        <v>21.4</v>
      </c>
      <c r="H19" s="122">
        <v>2300</v>
      </c>
      <c r="I19" s="124">
        <v>28100000</v>
      </c>
      <c r="J19" s="125">
        <f>LOG(I$19)-LOG(I19)</f>
        <v>0</v>
      </c>
      <c r="K19" s="124">
        <v>36800000</v>
      </c>
      <c r="L19" s="91" t="s">
        <v>26</v>
      </c>
      <c r="M19" s="116"/>
      <c r="N19" s="119"/>
      <c r="O19" s="99"/>
      <c r="P19" s="233">
        <f t="shared" ref="P19:P24" si="0">B$16*A19</f>
        <v>0</v>
      </c>
      <c r="Q19" s="233">
        <f>6/LINEST(J19:J21,P19:P21,FALSE)</f>
        <v>38449.149166852301</v>
      </c>
      <c r="R19" s="233">
        <f>Q19/3000</f>
        <v>12.816383055617434</v>
      </c>
      <c r="S19" s="233">
        <f>(J26/LINEST($J19:$J21,$P19:$P21,FALSE))/$B$16</f>
        <v>16.709359408761227</v>
      </c>
    </row>
    <row r="20" spans="1:19" ht="15.75" thickBot="1" x14ac:dyDescent="0.3">
      <c r="A20" s="32">
        <v>3</v>
      </c>
      <c r="B20" s="103">
        <v>3.8</v>
      </c>
      <c r="C20" s="100">
        <v>9.952</v>
      </c>
      <c r="D20" s="100">
        <v>9.18</v>
      </c>
      <c r="E20" s="58">
        <v>3200</v>
      </c>
      <c r="F20" s="58">
        <v>0.39</v>
      </c>
      <c r="G20" s="100">
        <v>16.600000000000001</v>
      </c>
      <c r="H20" s="113">
        <v>2460</v>
      </c>
      <c r="I20" s="124">
        <v>985000</v>
      </c>
      <c r="J20" s="125">
        <f>LOG(I$19)-LOG(I20)</f>
        <v>1.4552700894074677</v>
      </c>
      <c r="K20" s="124">
        <v>6800000</v>
      </c>
      <c r="L20" s="50">
        <f>LOG(K19)-LOG(K20)</f>
        <v>0.73333890596728146</v>
      </c>
      <c r="M20" s="117"/>
      <c r="N20" s="120"/>
      <c r="O20" s="99"/>
      <c r="P20" s="233">
        <f t="shared" si="0"/>
        <v>8571.4285714285725</v>
      </c>
      <c r="Q20" s="225"/>
    </row>
    <row r="21" spans="1:19" ht="15.75" thickBot="1" x14ac:dyDescent="0.3">
      <c r="A21" s="32">
        <v>5</v>
      </c>
      <c r="B21" s="103">
        <v>3.8</v>
      </c>
      <c r="C21" s="100">
        <v>9.952</v>
      </c>
      <c r="D21" s="100">
        <v>9.2100000000000009</v>
      </c>
      <c r="E21" s="58">
        <v>3200</v>
      </c>
      <c r="F21" s="58">
        <v>0.64</v>
      </c>
      <c r="G21" s="100">
        <v>16.399999999999999</v>
      </c>
      <c r="H21" s="113"/>
      <c r="I21" s="124">
        <v>195000</v>
      </c>
      <c r="J21" s="125">
        <f>LOG(I$19)-LOG(I21)</f>
        <v>2.1586717085425615</v>
      </c>
      <c r="K21" s="124">
        <v>51000</v>
      </c>
      <c r="L21" s="125">
        <f>LOG(K19)-LOG(K21)</f>
        <v>2.8582776425755814</v>
      </c>
      <c r="M21" s="117"/>
      <c r="N21" s="120"/>
      <c r="O21" s="99"/>
      <c r="P21" s="233">
        <f t="shared" si="0"/>
        <v>14285.714285714286</v>
      </c>
    </row>
    <row r="22" spans="1:19" ht="15.75" thickBot="1" x14ac:dyDescent="0.3">
      <c r="A22" s="32">
        <v>10</v>
      </c>
      <c r="B22" s="103">
        <v>3.8</v>
      </c>
      <c r="C22" s="100">
        <v>9.52</v>
      </c>
      <c r="D22" s="100">
        <v>9.2200000000000006</v>
      </c>
      <c r="E22" s="58">
        <v>3000</v>
      </c>
      <c r="F22" s="58">
        <v>0.48</v>
      </c>
      <c r="G22" s="100">
        <v>15.5</v>
      </c>
      <c r="H22" s="113"/>
      <c r="I22" s="124">
        <v>0</v>
      </c>
      <c r="J22" s="50" t="s">
        <v>512</v>
      </c>
      <c r="K22" s="124">
        <v>0</v>
      </c>
      <c r="L22" s="125" t="s">
        <v>513</v>
      </c>
      <c r="M22" s="117"/>
      <c r="N22" s="120"/>
      <c r="O22" s="99"/>
      <c r="P22" s="233">
        <f t="shared" si="0"/>
        <v>28571.428571428572</v>
      </c>
    </row>
    <row r="23" spans="1:19" ht="15.75" thickBot="1" x14ac:dyDescent="0.3">
      <c r="A23" s="32">
        <v>15</v>
      </c>
      <c r="B23" s="103">
        <v>3.8</v>
      </c>
      <c r="C23" s="100">
        <v>9.52</v>
      </c>
      <c r="D23" s="100">
        <v>9.26</v>
      </c>
      <c r="E23" s="58">
        <v>3300</v>
      </c>
      <c r="F23" s="58">
        <v>0.59</v>
      </c>
      <c r="G23" s="100">
        <v>16.8</v>
      </c>
      <c r="H23" s="113"/>
      <c r="I23" s="124">
        <v>0</v>
      </c>
      <c r="J23" s="50" t="s">
        <v>512</v>
      </c>
      <c r="K23" s="124">
        <v>0</v>
      </c>
      <c r="L23" s="125" t="s">
        <v>513</v>
      </c>
      <c r="M23" s="118"/>
      <c r="N23" s="121"/>
      <c r="O23" s="99"/>
      <c r="P23" s="233">
        <f t="shared" si="0"/>
        <v>42857.142857142862</v>
      </c>
    </row>
    <row r="24" spans="1:19" ht="15.75" thickBot="1" x14ac:dyDescent="0.3">
      <c r="A24" s="32">
        <v>30</v>
      </c>
      <c r="B24" s="103">
        <v>3.8</v>
      </c>
      <c r="C24" s="100">
        <v>9.52</v>
      </c>
      <c r="D24" s="100">
        <v>9.27</v>
      </c>
      <c r="E24" s="58">
        <v>3200</v>
      </c>
      <c r="F24" s="58">
        <v>0.34</v>
      </c>
      <c r="G24" s="100">
        <v>19.100000000000001</v>
      </c>
      <c r="H24" s="113">
        <v>2440</v>
      </c>
      <c r="I24" s="124">
        <v>0</v>
      </c>
      <c r="J24" s="50" t="s">
        <v>512</v>
      </c>
      <c r="K24" s="124">
        <v>0</v>
      </c>
      <c r="L24" s="125" t="s">
        <v>513</v>
      </c>
      <c r="M24" s="118">
        <v>50</v>
      </c>
      <c r="N24" s="121">
        <v>13209</v>
      </c>
      <c r="O24" s="89"/>
      <c r="P24" s="233">
        <f t="shared" si="0"/>
        <v>85714.285714285725</v>
      </c>
    </row>
    <row r="25" spans="1:19" ht="15.75" thickBot="1" x14ac:dyDescent="0.3">
      <c r="A25" s="32" t="s">
        <v>508</v>
      </c>
      <c r="B25" s="103">
        <v>3.8</v>
      </c>
      <c r="C25" s="100">
        <v>9.51</v>
      </c>
      <c r="D25" s="100">
        <v>9.27</v>
      </c>
      <c r="E25" s="58">
        <v>3100</v>
      </c>
      <c r="F25" s="58">
        <v>0.57999999999999996</v>
      </c>
      <c r="G25" s="100">
        <v>18.600000000000001</v>
      </c>
      <c r="H25" s="113">
        <v>2390</v>
      </c>
      <c r="I25" s="124">
        <v>0</v>
      </c>
      <c r="J25" s="50" t="s">
        <v>512</v>
      </c>
      <c r="K25" s="124">
        <v>0</v>
      </c>
      <c r="L25" s="125" t="s">
        <v>513</v>
      </c>
      <c r="M25" s="121">
        <v>47</v>
      </c>
      <c r="N25" s="121">
        <v>13253</v>
      </c>
      <c r="O25" s="89">
        <v>6500</v>
      </c>
      <c r="P25" s="233"/>
    </row>
    <row r="26" spans="1:19" x14ac:dyDescent="0.25">
      <c r="A26" s="92"/>
      <c r="B26" s="92">
        <f>AVERAGE(B20:B21)</f>
        <v>3.8</v>
      </c>
      <c r="C26" s="92">
        <f>AVERAGE(C20:C21)</f>
        <v>9.952</v>
      </c>
      <c r="D26" s="92"/>
      <c r="E26" s="92"/>
      <c r="F26" s="92"/>
      <c r="G26" s="92"/>
      <c r="H26" s="92"/>
      <c r="I26" s="106"/>
      <c r="J26" s="115">
        <v>7.45</v>
      </c>
      <c r="K26" s="106"/>
      <c r="L26" s="92"/>
      <c r="M26" s="92"/>
      <c r="N26" s="92"/>
      <c r="O26" s="92"/>
    </row>
    <row r="27" spans="1:19" x14ac:dyDescent="0.25">
      <c r="A27" s="28" t="s">
        <v>140</v>
      </c>
      <c r="B27" s="28"/>
      <c r="C27" s="28"/>
      <c r="D27" s="28"/>
      <c r="E27" s="28"/>
      <c r="F27" s="28"/>
      <c r="G27" s="28"/>
      <c r="H27" s="28"/>
      <c r="I27" s="130"/>
      <c r="J27" s="115"/>
      <c r="K27" s="28"/>
      <c r="M27" s="28"/>
      <c r="N27" s="28"/>
    </row>
    <row r="28" spans="1:19" x14ac:dyDescent="0.25">
      <c r="A28" s="28"/>
      <c r="B28" s="28" t="s">
        <v>459</v>
      </c>
      <c r="C28" s="28"/>
      <c r="D28" s="28"/>
      <c r="E28" s="28"/>
      <c r="F28" s="28"/>
      <c r="G28" s="28"/>
      <c r="H28" s="28"/>
      <c r="I28" s="130"/>
      <c r="J28" s="28"/>
      <c r="K28" s="28" t="s">
        <v>34</v>
      </c>
      <c r="L28" s="28" t="s">
        <v>34</v>
      </c>
      <c r="M28" s="28" t="s">
        <v>34</v>
      </c>
      <c r="N28" s="28" t="s">
        <v>34</v>
      </c>
    </row>
    <row r="29" spans="1:19" x14ac:dyDescent="0.25">
      <c r="A29" s="28" t="s">
        <v>272</v>
      </c>
      <c r="B29" s="28"/>
      <c r="C29" s="28"/>
      <c r="D29" s="28"/>
      <c r="E29" s="28"/>
      <c r="F29" s="28"/>
      <c r="G29" s="28"/>
      <c r="H29" s="28"/>
      <c r="I29" s="130"/>
      <c r="J29" s="28"/>
      <c r="K29" s="28" t="s">
        <v>34</v>
      </c>
      <c r="L29" s="28" t="s">
        <v>34</v>
      </c>
      <c r="M29" s="28"/>
      <c r="N29" s="28"/>
    </row>
    <row r="30" spans="1:19" x14ac:dyDescent="0.25">
      <c r="A30" s="28"/>
      <c r="F30" s="28"/>
      <c r="G30" s="28"/>
      <c r="H30" s="28"/>
      <c r="I30" s="130"/>
      <c r="J30" s="28"/>
      <c r="K30" s="28" t="s">
        <v>34</v>
      </c>
      <c r="L30" s="28" t="s">
        <v>34</v>
      </c>
      <c r="M30" s="28" t="s">
        <v>34</v>
      </c>
      <c r="N30" s="28"/>
    </row>
    <row r="31" spans="1:19" x14ac:dyDescent="0.25">
      <c r="A31" s="28"/>
      <c r="F31" s="28"/>
      <c r="G31" s="28"/>
      <c r="H31" s="28"/>
      <c r="I31" s="130"/>
      <c r="J31" s="28"/>
      <c r="K31" s="28"/>
      <c r="L31" s="28"/>
      <c r="M31" s="28"/>
      <c r="N31" s="28"/>
    </row>
    <row r="32" spans="1:19" x14ac:dyDescent="0.25">
      <c r="A32" s="19" t="s">
        <v>28</v>
      </c>
      <c r="B32" s="28"/>
      <c r="C32" s="427"/>
      <c r="D32" s="427"/>
      <c r="E32" s="427"/>
      <c r="F32" s="427"/>
      <c r="G32" s="427"/>
      <c r="H32" s="427"/>
      <c r="I32" s="427"/>
      <c r="J32" s="427"/>
      <c r="K32" s="427"/>
      <c r="L32" s="427"/>
      <c r="M32" s="427"/>
      <c r="N32" s="427"/>
      <c r="O32" s="427"/>
      <c r="P32" s="427"/>
    </row>
    <row r="33" spans="1:14" x14ac:dyDescent="0.25">
      <c r="A33" s="28"/>
      <c r="B33" s="22"/>
      <c r="C33" s="132"/>
      <c r="D33" s="132"/>
      <c r="E33" s="132"/>
      <c r="F33" s="132"/>
      <c r="G33" s="132"/>
      <c r="H33" s="132"/>
      <c r="I33" s="132"/>
      <c r="J33" s="132"/>
      <c r="K33" s="132"/>
      <c r="L33" s="132"/>
      <c r="M33" s="132"/>
      <c r="N33" s="132"/>
    </row>
    <row r="34" spans="1:14" x14ac:dyDescent="0.25">
      <c r="A34" s="28"/>
      <c r="B34" s="41"/>
      <c r="C34" s="41"/>
      <c r="D34" s="41"/>
      <c r="E34" s="41"/>
      <c r="F34" s="41"/>
      <c r="G34" s="41"/>
      <c r="H34" s="41"/>
      <c r="I34" s="41"/>
      <c r="J34" s="41"/>
      <c r="K34" s="41"/>
      <c r="L34" s="41"/>
      <c r="M34" s="28"/>
      <c r="N34" s="28"/>
    </row>
    <row r="35" spans="1:14" x14ac:dyDescent="0.25">
      <c r="A35" s="28"/>
      <c r="B35" s="41"/>
      <c r="C35" s="41"/>
      <c r="D35" s="41"/>
      <c r="E35" s="41"/>
      <c r="F35" s="41"/>
      <c r="G35" s="41"/>
      <c r="H35" s="41"/>
      <c r="I35" s="41"/>
      <c r="J35" s="41"/>
      <c r="K35" s="41"/>
      <c r="L35" s="41"/>
      <c r="M35" s="28"/>
      <c r="N35" s="28"/>
    </row>
    <row r="36" spans="1:14" x14ac:dyDescent="0.25">
      <c r="B36" s="131"/>
      <c r="C36" s="131"/>
      <c r="D36" s="131"/>
      <c r="E36" s="131"/>
      <c r="F36" s="131"/>
      <c r="G36" s="131"/>
      <c r="H36" s="131"/>
      <c r="I36" s="131"/>
      <c r="J36" s="131"/>
      <c r="K36" s="131"/>
      <c r="L36" s="131"/>
      <c r="M36" s="131"/>
      <c r="N36" s="131"/>
    </row>
    <row r="37" spans="1:14" x14ac:dyDescent="0.25">
      <c r="B37" s="41"/>
      <c r="C37" s="64"/>
      <c r="D37" s="64"/>
      <c r="E37" s="64"/>
      <c r="F37" s="64"/>
      <c r="G37" s="64"/>
      <c r="H37" s="64"/>
      <c r="I37" s="64"/>
      <c r="J37" s="64"/>
      <c r="K37" s="64"/>
      <c r="L37" s="65"/>
    </row>
    <row r="38" spans="1:14" x14ac:dyDescent="0.25">
      <c r="B38" s="22"/>
    </row>
    <row r="39" spans="1:14" x14ac:dyDescent="0.25">
      <c r="B39" s="22"/>
    </row>
    <row r="40" spans="1:14" x14ac:dyDescent="0.25">
      <c r="B40" s="22"/>
      <c r="C40" s="28"/>
      <c r="D40" s="28"/>
      <c r="E40" s="28"/>
      <c r="F40" s="28"/>
      <c r="G40" s="28"/>
      <c r="H40" s="28"/>
      <c r="I40" s="130"/>
      <c r="J40" s="28"/>
    </row>
    <row r="41" spans="1:14" x14ac:dyDescent="0.25">
      <c r="B41" s="22"/>
    </row>
    <row r="43" spans="1:14" x14ac:dyDescent="0.25">
      <c r="B43" s="41"/>
      <c r="C43" s="41"/>
      <c r="D43" s="41"/>
      <c r="E43" s="41"/>
      <c r="F43" s="41"/>
      <c r="G43" s="41"/>
      <c r="H43" s="41"/>
      <c r="I43" s="41"/>
      <c r="J43" s="41"/>
      <c r="K43" s="41"/>
    </row>
    <row r="44" spans="1:14" x14ac:dyDescent="0.25">
      <c r="B44" s="41"/>
      <c r="C44" s="41"/>
      <c r="D44" s="41"/>
      <c r="E44" s="41"/>
      <c r="F44" s="41"/>
      <c r="G44" s="41"/>
      <c r="H44" s="41"/>
      <c r="I44" s="41"/>
      <c r="J44" s="41"/>
      <c r="K44" s="41"/>
    </row>
    <row r="45" spans="1:14" x14ac:dyDescent="0.25">
      <c r="B45" s="22"/>
      <c r="C45" s="28"/>
      <c r="D45" s="28"/>
      <c r="E45" s="28"/>
      <c r="F45" s="28"/>
      <c r="G45" s="28"/>
      <c r="H45" s="130"/>
      <c r="I45" s="28"/>
      <c r="J45" s="41"/>
      <c r="K45" s="28"/>
    </row>
  </sheetData>
  <mergeCells count="1">
    <mergeCell ref="C32:P32"/>
  </mergeCells>
  <pageMargins left="0.7" right="0.7" top="0.75" bottom="0.75" header="0.3" footer="0.3"/>
  <pageSetup scale="77" orientation="landscape" verticalDpi="597" r:id="rId1"/>
  <drawing r:id="rId2"/>
  <legacyDrawing r:id="rId3"/>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0">
    <pageSetUpPr fitToPage="1"/>
  </sheetPr>
  <dimension ref="A6:S47"/>
  <sheetViews>
    <sheetView zoomScale="90" zoomScaleNormal="90" workbookViewId="0"/>
  </sheetViews>
  <sheetFormatPr defaultRowHeight="15" x14ac:dyDescent="0.25"/>
  <cols>
    <col min="1" max="1" width="7.140625" customWidth="1"/>
    <col min="2" max="2" width="11.140625" customWidth="1"/>
    <col min="3" max="3" width="6.42578125" customWidth="1"/>
    <col min="4" max="4" width="8.85546875" customWidth="1"/>
    <col min="5" max="5" width="8.140625" customWidth="1"/>
    <col min="6" max="6" width="8.85546875" customWidth="1"/>
    <col min="7" max="7" width="9.140625" customWidth="1"/>
    <col min="8" max="8" width="9.42578125" customWidth="1"/>
    <col min="10" max="10" width="7.7109375" customWidth="1"/>
    <col min="12" max="12" width="11" customWidth="1"/>
    <col min="13" max="13" width="6.7109375" style="155" customWidth="1"/>
    <col min="14" max="14" width="10.28515625" customWidth="1"/>
  </cols>
  <sheetData>
    <row r="6" spans="1:15" x14ac:dyDescent="0.25">
      <c r="A6" s="7" t="s">
        <v>12</v>
      </c>
      <c r="B6" s="28"/>
      <c r="C6" s="28"/>
      <c r="D6" s="28"/>
      <c r="E6" s="28"/>
      <c r="F6" s="28"/>
      <c r="G6" s="28"/>
      <c r="H6" s="28"/>
      <c r="I6" s="136"/>
      <c r="J6" s="28"/>
      <c r="K6" s="28"/>
      <c r="L6" s="28"/>
      <c r="M6" s="154"/>
      <c r="N6" s="28"/>
      <c r="O6" s="28"/>
    </row>
    <row r="7" spans="1:15" x14ac:dyDescent="0.25">
      <c r="A7" s="30" t="s">
        <v>13</v>
      </c>
      <c r="B7" s="128">
        <v>41401</v>
      </c>
    </row>
    <row r="8" spans="1:15" x14ac:dyDescent="0.25">
      <c r="A8" s="28" t="s">
        <v>14</v>
      </c>
      <c r="B8" s="136" t="s">
        <v>514</v>
      </c>
      <c r="C8" s="28"/>
      <c r="D8" s="28"/>
      <c r="E8" s="28"/>
      <c r="F8" s="28"/>
      <c r="G8" s="28"/>
      <c r="H8" s="28"/>
      <c r="I8" s="136"/>
      <c r="J8" s="28"/>
      <c r="K8" s="28" t="s">
        <v>34</v>
      </c>
      <c r="L8" s="28" t="s">
        <v>34</v>
      </c>
      <c r="M8" s="154"/>
      <c r="N8" s="28"/>
    </row>
    <row r="9" spans="1:15" x14ac:dyDescent="0.25">
      <c r="A9" s="28" t="s">
        <v>15</v>
      </c>
      <c r="B9" s="136">
        <v>5</v>
      </c>
      <c r="C9" s="28" t="s">
        <v>529</v>
      </c>
      <c r="D9" s="28"/>
      <c r="E9" s="28"/>
      <c r="F9" s="28"/>
      <c r="G9" s="28"/>
      <c r="H9" s="28"/>
      <c r="I9" s="136"/>
      <c r="J9" s="28"/>
      <c r="K9" s="28"/>
      <c r="L9" s="28"/>
      <c r="M9" s="154"/>
      <c r="N9" s="28"/>
    </row>
    <row r="10" spans="1:15" ht="15.75" x14ac:dyDescent="0.25">
      <c r="A10" s="28" t="s">
        <v>16</v>
      </c>
      <c r="B10">
        <v>2000</v>
      </c>
      <c r="C10" s="31" t="s">
        <v>726</v>
      </c>
      <c r="D10" s="28"/>
      <c r="E10" s="28"/>
      <c r="F10" s="28"/>
      <c r="G10" s="28"/>
      <c r="H10" s="28"/>
      <c r="I10" s="136" t="s">
        <v>34</v>
      </c>
      <c r="J10" s="28" t="s">
        <v>34</v>
      </c>
      <c r="K10" s="28" t="s">
        <v>34</v>
      </c>
      <c r="L10" s="28" t="s">
        <v>34</v>
      </c>
      <c r="M10" s="154" t="s">
        <v>34</v>
      </c>
      <c r="N10" s="28" t="s">
        <v>34</v>
      </c>
    </row>
    <row r="11" spans="1:15" x14ac:dyDescent="0.25">
      <c r="A11" s="28"/>
      <c r="B11" s="243">
        <v>1400000000</v>
      </c>
      <c r="C11" s="31" t="s">
        <v>717</v>
      </c>
      <c r="D11" s="28"/>
      <c r="E11" s="28"/>
      <c r="F11" s="28"/>
      <c r="G11" s="28"/>
      <c r="H11" s="28"/>
      <c r="I11" s="136"/>
      <c r="J11" s="28"/>
      <c r="K11" s="28" t="s">
        <v>34</v>
      </c>
      <c r="L11" s="28"/>
      <c r="M11" s="154"/>
      <c r="N11" s="28"/>
    </row>
    <row r="12" spans="1:15" x14ac:dyDescent="0.25">
      <c r="A12" s="28"/>
      <c r="B12">
        <v>95</v>
      </c>
      <c r="C12" s="31" t="s">
        <v>701</v>
      </c>
      <c r="D12" s="28"/>
      <c r="E12" s="28"/>
      <c r="F12" s="28"/>
      <c r="G12" s="28"/>
      <c r="H12" s="28"/>
      <c r="I12" s="136"/>
      <c r="J12" s="28"/>
      <c r="K12" s="28"/>
      <c r="L12" s="28"/>
      <c r="M12" s="154"/>
      <c r="N12" s="28"/>
    </row>
    <row r="13" spans="1:15" x14ac:dyDescent="0.25">
      <c r="A13" s="28"/>
      <c r="B13" s="244">
        <v>6</v>
      </c>
      <c r="C13" s="28" t="s">
        <v>697</v>
      </c>
      <c r="D13" s="28"/>
      <c r="E13" s="28"/>
      <c r="F13" s="28"/>
      <c r="G13" s="28"/>
      <c r="H13" s="28"/>
      <c r="I13" s="251"/>
      <c r="J13" s="28"/>
      <c r="K13" s="28"/>
      <c r="L13" s="28"/>
      <c r="M13" s="154"/>
      <c r="N13" s="28"/>
    </row>
    <row r="14" spans="1:15" x14ac:dyDescent="0.25">
      <c r="A14" s="28"/>
      <c r="B14" s="244">
        <v>100</v>
      </c>
      <c r="C14" s="87" t="s">
        <v>696</v>
      </c>
      <c r="D14" s="28"/>
      <c r="E14" s="28"/>
      <c r="F14" s="28"/>
      <c r="G14" s="28"/>
      <c r="H14" s="28"/>
      <c r="I14" s="251"/>
      <c r="J14" s="28"/>
      <c r="K14" s="28"/>
      <c r="L14" s="28"/>
      <c r="M14" s="154"/>
      <c r="N14" s="28"/>
    </row>
    <row r="15" spans="1:15" x14ac:dyDescent="0.25">
      <c r="A15" s="28"/>
      <c r="B15" s="244">
        <v>0</v>
      </c>
      <c r="C15" s="87" t="s">
        <v>698</v>
      </c>
      <c r="D15" s="28"/>
      <c r="E15" s="28"/>
      <c r="F15" s="28"/>
      <c r="G15" s="28"/>
      <c r="H15" s="28"/>
      <c r="I15" s="251"/>
      <c r="J15" s="28"/>
      <c r="K15" s="28"/>
      <c r="L15" s="28"/>
      <c r="M15" s="154"/>
      <c r="N15" s="28"/>
    </row>
    <row r="16" spans="1:15" x14ac:dyDescent="0.25">
      <c r="A16" s="28"/>
      <c r="B16" s="245">
        <f>(B12*B13/100*1000)/(B10+B12-B14+B15)*1000</f>
        <v>2857.1428571428573</v>
      </c>
      <c r="C16" s="28" t="s">
        <v>700</v>
      </c>
      <c r="D16" s="28"/>
      <c r="E16" s="28"/>
      <c r="F16" s="28"/>
      <c r="G16" s="28"/>
      <c r="H16" s="28"/>
      <c r="I16" s="251"/>
      <c r="J16" s="28"/>
      <c r="K16" s="28"/>
      <c r="L16" s="28"/>
      <c r="M16" s="154"/>
      <c r="N16" s="28"/>
    </row>
    <row r="17" spans="1:19" ht="15.75" thickBot="1" x14ac:dyDescent="0.3">
      <c r="A17" s="28"/>
      <c r="B17" s="28" t="s">
        <v>647</v>
      </c>
      <c r="C17" s="28"/>
      <c r="D17" s="28"/>
      <c r="E17" s="28"/>
      <c r="F17" s="28"/>
      <c r="G17" s="28"/>
      <c r="H17" s="28"/>
      <c r="I17" s="136"/>
      <c r="J17" s="28"/>
      <c r="K17" s="28"/>
      <c r="L17" s="28"/>
      <c r="M17" s="154"/>
      <c r="N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56" t="s">
        <v>23</v>
      </c>
      <c r="N18" s="14" t="s">
        <v>24</v>
      </c>
      <c r="O18" s="14" t="s">
        <v>25</v>
      </c>
      <c r="P18" s="14" t="s">
        <v>678</v>
      </c>
      <c r="Q18" s="14" t="s">
        <v>681</v>
      </c>
      <c r="R18" s="14" t="s">
        <v>897</v>
      </c>
      <c r="S18" s="14" t="s">
        <v>729</v>
      </c>
    </row>
    <row r="19" spans="1:19" ht="15.75" thickBot="1" x14ac:dyDescent="0.3">
      <c r="A19" s="32">
        <v>0</v>
      </c>
      <c r="B19" s="91">
        <v>19.8</v>
      </c>
      <c r="C19" s="105">
        <v>9.27</v>
      </c>
      <c r="D19" s="105">
        <v>9.31</v>
      </c>
      <c r="E19" s="91">
        <v>0.48</v>
      </c>
      <c r="F19" s="91">
        <v>0.51</v>
      </c>
      <c r="G19" s="105">
        <v>28.5</v>
      </c>
      <c r="H19" s="122">
        <v>2580</v>
      </c>
      <c r="I19" s="124">
        <v>30100000</v>
      </c>
      <c r="J19" s="125">
        <f>LOG(I$19)-LOG(I19)</f>
        <v>0</v>
      </c>
      <c r="K19" s="124">
        <v>27000000</v>
      </c>
      <c r="L19" s="91" t="s">
        <v>26</v>
      </c>
      <c r="M19" s="119"/>
      <c r="N19" s="119"/>
      <c r="O19" s="99"/>
      <c r="P19" s="233">
        <f t="shared" ref="P19:P24" si="0">B$16*A19</f>
        <v>0</v>
      </c>
      <c r="Q19" s="233">
        <f>6/LINEST(J19:J22,P19:P22,FALSE)</f>
        <v>31143.177666178442</v>
      </c>
      <c r="R19" s="233">
        <f>Q19/3000</f>
        <v>10.381059222059481</v>
      </c>
      <c r="S19" s="233">
        <f>(J27/LINEST($J19:$J22,$P19:$P22,FALSE))/$B$16</f>
        <v>13.58880652167586</v>
      </c>
    </row>
    <row r="20" spans="1:19" ht="15.75" thickBot="1" x14ac:dyDescent="0.3">
      <c r="A20" s="32">
        <v>3</v>
      </c>
      <c r="B20" s="103">
        <v>19.899999999999999</v>
      </c>
      <c r="C20" s="100">
        <v>9.2899999999999991</v>
      </c>
      <c r="D20" s="105">
        <v>9.31</v>
      </c>
      <c r="E20" s="58">
        <v>3100</v>
      </c>
      <c r="F20" s="58">
        <v>0.65</v>
      </c>
      <c r="G20" s="100">
        <v>22.7</v>
      </c>
      <c r="H20" s="113">
        <v>2510</v>
      </c>
      <c r="I20" s="124">
        <v>2060000</v>
      </c>
      <c r="J20" s="125">
        <f>LOG(I$19)-LOG(I20)</f>
        <v>1.1646992752246899</v>
      </c>
      <c r="K20" s="124">
        <v>1590000</v>
      </c>
      <c r="L20" s="50">
        <f>LOG(K19)-LOG(K20)</f>
        <v>1.2299666398385352</v>
      </c>
      <c r="M20" s="120"/>
      <c r="N20" s="120"/>
      <c r="O20" s="99"/>
      <c r="P20" s="233">
        <f t="shared" si="0"/>
        <v>8571.4285714285725</v>
      </c>
      <c r="Q20" s="225"/>
    </row>
    <row r="21" spans="1:19" ht="15.75" thickBot="1" x14ac:dyDescent="0.3">
      <c r="A21" s="32">
        <v>5</v>
      </c>
      <c r="B21" s="103">
        <v>20.399999999999999</v>
      </c>
      <c r="C21" s="100">
        <v>9.2899999999999991</v>
      </c>
      <c r="D21" s="105">
        <v>9.31</v>
      </c>
      <c r="E21" s="58">
        <v>3100</v>
      </c>
      <c r="F21" s="58">
        <v>0.55000000000000004</v>
      </c>
      <c r="G21" s="100">
        <v>21.4</v>
      </c>
      <c r="H21" s="113"/>
      <c r="I21" s="124">
        <v>2680</v>
      </c>
      <c r="J21" s="125">
        <f>LOG(I$19)-LOG(I21)</f>
        <v>4.0504317015650546</v>
      </c>
      <c r="K21" s="124">
        <v>0</v>
      </c>
      <c r="L21" s="50" t="s">
        <v>518</v>
      </c>
      <c r="M21" s="120"/>
      <c r="N21" s="120"/>
      <c r="O21" s="99"/>
      <c r="P21" s="233">
        <f t="shared" si="0"/>
        <v>14285.714285714286</v>
      </c>
    </row>
    <row r="22" spans="1:19" ht="15.75" thickBot="1" x14ac:dyDescent="0.3">
      <c r="A22" s="32">
        <v>10</v>
      </c>
      <c r="B22" s="103">
        <v>20.3</v>
      </c>
      <c r="C22" s="100">
        <v>9.2899999999999991</v>
      </c>
      <c r="D22" s="100">
        <v>9.3000000000000007</v>
      </c>
      <c r="E22" s="58">
        <v>2900</v>
      </c>
      <c r="F22" s="58">
        <v>0.49</v>
      </c>
      <c r="G22" s="100">
        <v>23.1</v>
      </c>
      <c r="H22" s="113"/>
      <c r="I22" s="124">
        <v>300</v>
      </c>
      <c r="J22" s="50">
        <f>LOG(I19)-LOG(I22)</f>
        <v>5.0014452408741805</v>
      </c>
      <c r="K22" s="124">
        <v>0</v>
      </c>
      <c r="L22" s="50" t="s">
        <v>518</v>
      </c>
      <c r="M22" s="120"/>
      <c r="N22" s="120"/>
      <c r="O22" s="99"/>
      <c r="P22" s="233">
        <f t="shared" si="0"/>
        <v>28571.428571428572</v>
      </c>
    </row>
    <row r="23" spans="1:19" ht="15.75" thickBot="1" x14ac:dyDescent="0.3">
      <c r="A23" s="32">
        <v>15</v>
      </c>
      <c r="B23" s="103">
        <v>20.399999999999999</v>
      </c>
      <c r="C23" s="100">
        <v>9.2899999999999991</v>
      </c>
      <c r="D23" s="105">
        <v>9.31</v>
      </c>
      <c r="E23" s="58">
        <v>3100</v>
      </c>
      <c r="F23" s="58">
        <v>0.44</v>
      </c>
      <c r="G23" s="100">
        <v>23.7</v>
      </c>
      <c r="H23" s="113"/>
      <c r="I23" s="124">
        <v>0</v>
      </c>
      <c r="J23" s="50" t="s">
        <v>517</v>
      </c>
      <c r="K23" s="124">
        <v>0</v>
      </c>
      <c r="L23" s="50" t="s">
        <v>518</v>
      </c>
      <c r="M23" s="121"/>
      <c r="N23" s="121"/>
      <c r="O23" s="99"/>
      <c r="P23" s="233">
        <f t="shared" si="0"/>
        <v>42857.142857142862</v>
      </c>
    </row>
    <row r="24" spans="1:19" ht="15.75" thickBot="1" x14ac:dyDescent="0.3">
      <c r="A24" s="32">
        <v>30</v>
      </c>
      <c r="B24" s="103">
        <v>20.8</v>
      </c>
      <c r="C24" s="100">
        <v>9.2899999999999991</v>
      </c>
      <c r="D24" s="100">
        <v>9.32</v>
      </c>
      <c r="E24" s="58">
        <v>2900</v>
      </c>
      <c r="F24" s="58">
        <v>0.5</v>
      </c>
      <c r="G24" s="100">
        <v>25.7</v>
      </c>
      <c r="H24" s="113"/>
      <c r="I24" s="124">
        <v>0</v>
      </c>
      <c r="J24" s="50" t="s">
        <v>517</v>
      </c>
      <c r="K24" s="124">
        <v>0</v>
      </c>
      <c r="L24" s="50" t="s">
        <v>518</v>
      </c>
      <c r="M24" s="121"/>
      <c r="N24" s="121"/>
      <c r="O24" s="89"/>
      <c r="P24" s="233">
        <f t="shared" si="0"/>
        <v>85714.285714285725</v>
      </c>
    </row>
    <row r="25" spans="1:19" ht="15.75" thickBot="1" x14ac:dyDescent="0.3">
      <c r="A25" s="32">
        <v>60</v>
      </c>
      <c r="B25" s="103">
        <v>20.8</v>
      </c>
      <c r="C25" s="100">
        <v>9.2799999999999994</v>
      </c>
      <c r="D25" s="100">
        <v>9.32</v>
      </c>
      <c r="E25" s="58">
        <v>2900</v>
      </c>
      <c r="F25" s="58">
        <v>0.44</v>
      </c>
      <c r="G25" s="100">
        <v>21.8</v>
      </c>
      <c r="H25" s="113">
        <v>2430</v>
      </c>
      <c r="I25" s="124">
        <v>0</v>
      </c>
      <c r="J25" s="50" t="s">
        <v>517</v>
      </c>
      <c r="K25" s="124">
        <v>0</v>
      </c>
      <c r="L25" s="50" t="s">
        <v>518</v>
      </c>
      <c r="M25" s="121">
        <v>50</v>
      </c>
      <c r="N25" s="121">
        <v>20760</v>
      </c>
      <c r="O25" s="89"/>
      <c r="P25" s="233"/>
    </row>
    <row r="26" spans="1:19" ht="15.75" thickBot="1" x14ac:dyDescent="0.3">
      <c r="A26" s="32" t="s">
        <v>516</v>
      </c>
      <c r="B26" s="103">
        <v>20.8</v>
      </c>
      <c r="C26" s="100">
        <v>9.2799999999999994</v>
      </c>
      <c r="D26" s="100">
        <v>9.32</v>
      </c>
      <c r="E26" s="58">
        <v>3000</v>
      </c>
      <c r="F26" s="58">
        <v>0.43</v>
      </c>
      <c r="G26" s="100">
        <v>21.3</v>
      </c>
      <c r="H26" s="113">
        <v>2520</v>
      </c>
      <c r="I26" s="124">
        <v>0</v>
      </c>
      <c r="J26" s="50" t="s">
        <v>517</v>
      </c>
      <c r="K26" s="124">
        <v>0</v>
      </c>
      <c r="L26" s="50" t="s">
        <v>518</v>
      </c>
      <c r="M26" s="121">
        <v>58</v>
      </c>
      <c r="N26" s="121">
        <v>20534</v>
      </c>
      <c r="O26" s="89">
        <v>6100</v>
      </c>
    </row>
    <row r="27" spans="1:19" x14ac:dyDescent="0.25">
      <c r="A27" s="142"/>
      <c r="B27" s="143">
        <f>AVERAGE(B20:B22)</f>
        <v>20.2</v>
      </c>
      <c r="C27" s="143">
        <f>AVERAGE(C20:C22)</f>
        <v>9.2899999999999991</v>
      </c>
      <c r="D27" s="143"/>
      <c r="E27" s="143"/>
      <c r="F27" s="143"/>
      <c r="G27" s="143"/>
      <c r="H27" s="143"/>
      <c r="I27" s="143"/>
      <c r="J27" s="143">
        <v>7.48</v>
      </c>
      <c r="K27" s="143"/>
      <c r="L27" s="143"/>
      <c r="M27" s="143"/>
      <c r="N27" s="143"/>
      <c r="O27" s="143"/>
    </row>
    <row r="28" spans="1:19" x14ac:dyDescent="0.25">
      <c r="A28" s="142"/>
      <c r="B28" s="143"/>
      <c r="C28" s="144"/>
      <c r="D28" s="144"/>
      <c r="E28" s="145"/>
      <c r="F28" s="145"/>
      <c r="G28" s="144"/>
      <c r="H28" s="146"/>
      <c r="I28" s="147"/>
      <c r="J28" s="148"/>
      <c r="K28" s="147"/>
      <c r="L28" s="149"/>
      <c r="M28" s="150"/>
      <c r="N28" s="150"/>
      <c r="O28" s="151"/>
    </row>
    <row r="29" spans="1:19" x14ac:dyDescent="0.25">
      <c r="A29" s="28" t="s">
        <v>140</v>
      </c>
      <c r="B29" s="28"/>
      <c r="C29" s="28"/>
      <c r="D29" s="28"/>
      <c r="E29" s="28"/>
      <c r="F29" s="28"/>
      <c r="G29" s="28"/>
      <c r="H29" s="28"/>
      <c r="I29" s="136"/>
      <c r="J29" s="115"/>
      <c r="K29" s="28"/>
      <c r="M29" s="154"/>
      <c r="N29" s="28"/>
    </row>
    <row r="30" spans="1:19" x14ac:dyDescent="0.25">
      <c r="A30" s="28"/>
      <c r="B30" s="28" t="s">
        <v>459</v>
      </c>
      <c r="C30" s="28"/>
      <c r="D30" s="28"/>
      <c r="E30" s="28"/>
      <c r="F30" s="28"/>
      <c r="G30" s="28"/>
      <c r="H30" s="28"/>
      <c r="I30" s="136"/>
      <c r="J30" s="28"/>
      <c r="K30" s="28" t="s">
        <v>34</v>
      </c>
      <c r="L30" s="28" t="s">
        <v>34</v>
      </c>
      <c r="M30" s="154" t="s">
        <v>34</v>
      </c>
      <c r="N30" s="28" t="s">
        <v>34</v>
      </c>
    </row>
    <row r="31" spans="1:19" x14ac:dyDescent="0.25">
      <c r="A31" s="28" t="s">
        <v>272</v>
      </c>
      <c r="B31" s="28"/>
      <c r="C31" s="28"/>
      <c r="D31" s="28"/>
      <c r="E31" s="28"/>
      <c r="F31" s="28"/>
      <c r="G31" s="28"/>
      <c r="H31" s="28"/>
      <c r="I31" s="136"/>
      <c r="J31" s="28"/>
      <c r="K31" s="28" t="s">
        <v>34</v>
      </c>
      <c r="L31" s="28" t="s">
        <v>34</v>
      </c>
      <c r="M31" s="154"/>
      <c r="N31" s="28"/>
    </row>
    <row r="32" spans="1:19" x14ac:dyDescent="0.25">
      <c r="A32" s="28"/>
      <c r="F32" s="28"/>
      <c r="G32" s="28"/>
      <c r="H32" s="28"/>
      <c r="I32" s="136"/>
      <c r="J32" s="28"/>
      <c r="K32" s="28" t="s">
        <v>34</v>
      </c>
      <c r="L32" s="28" t="s">
        <v>34</v>
      </c>
      <c r="M32" s="154" t="s">
        <v>34</v>
      </c>
      <c r="N32" s="28"/>
    </row>
    <row r="33" spans="1:16" x14ac:dyDescent="0.25">
      <c r="A33" s="28"/>
      <c r="F33" s="28"/>
      <c r="G33" s="28"/>
      <c r="H33" s="28"/>
      <c r="I33" s="136"/>
      <c r="J33" s="28"/>
      <c r="K33" s="28"/>
      <c r="L33" s="28"/>
      <c r="M33" s="154"/>
      <c r="N33" s="28"/>
    </row>
    <row r="34" spans="1:16" x14ac:dyDescent="0.25">
      <c r="A34" s="19" t="s">
        <v>28</v>
      </c>
      <c r="B34" s="28"/>
      <c r="C34" s="75"/>
      <c r="D34" s="75"/>
      <c r="E34" s="75"/>
      <c r="F34" s="75"/>
      <c r="G34" s="75"/>
      <c r="H34" s="75"/>
      <c r="I34" s="75"/>
      <c r="J34" s="75"/>
      <c r="K34" s="75"/>
      <c r="L34" s="75"/>
      <c r="M34" s="157"/>
      <c r="N34" s="75"/>
      <c r="O34" s="75"/>
      <c r="P34" s="75"/>
    </row>
    <row r="35" spans="1:16" x14ac:dyDescent="0.25">
      <c r="A35" s="28"/>
      <c r="B35" s="22"/>
      <c r="C35" s="138"/>
      <c r="D35" s="138"/>
      <c r="E35" s="138"/>
      <c r="F35" s="138"/>
      <c r="G35" s="138"/>
      <c r="H35" s="138"/>
      <c r="I35" s="138"/>
      <c r="J35" s="138"/>
      <c r="K35" s="138"/>
      <c r="L35" s="138"/>
      <c r="M35" s="158"/>
      <c r="N35" s="138"/>
    </row>
    <row r="36" spans="1:16" x14ac:dyDescent="0.25">
      <c r="A36" s="28"/>
      <c r="B36" s="41"/>
      <c r="C36" s="41"/>
      <c r="D36" s="41"/>
      <c r="E36" s="41"/>
      <c r="F36" s="41"/>
      <c r="G36" s="41"/>
      <c r="H36" s="41"/>
      <c r="I36" s="41"/>
      <c r="J36" s="41"/>
      <c r="K36" s="41"/>
      <c r="L36" s="41"/>
      <c r="M36" s="154"/>
      <c r="N36" s="28"/>
    </row>
    <row r="37" spans="1:16" x14ac:dyDescent="0.25">
      <c r="A37" s="28"/>
      <c r="B37" s="41"/>
      <c r="C37" s="41"/>
      <c r="D37" s="41"/>
      <c r="E37" s="41"/>
      <c r="F37" s="41"/>
      <c r="G37" s="41"/>
      <c r="H37" s="41"/>
      <c r="I37" s="41"/>
      <c r="J37" s="41"/>
      <c r="K37" s="41"/>
      <c r="L37" s="41"/>
      <c r="M37" s="154"/>
      <c r="N37" s="28"/>
    </row>
    <row r="38" spans="1:16" x14ac:dyDescent="0.25">
      <c r="B38" s="137"/>
      <c r="C38" s="137"/>
      <c r="D38" s="137"/>
      <c r="E38" s="137"/>
      <c r="F38" s="137"/>
      <c r="G38" s="137"/>
      <c r="H38" s="137"/>
      <c r="I38" s="137"/>
      <c r="J38" s="137"/>
      <c r="K38" s="137"/>
      <c r="L38" s="137"/>
      <c r="M38" s="159"/>
      <c r="N38" s="137"/>
    </row>
    <row r="39" spans="1:16" x14ac:dyDescent="0.25">
      <c r="B39" s="41"/>
      <c r="C39" s="64"/>
      <c r="D39" s="64"/>
      <c r="E39" s="64"/>
      <c r="F39" s="64"/>
      <c r="G39" s="64"/>
      <c r="H39" s="64"/>
      <c r="I39" s="64"/>
      <c r="J39" s="64"/>
      <c r="K39" s="64"/>
      <c r="L39" s="65"/>
    </row>
    <row r="40" spans="1:16" x14ac:dyDescent="0.25">
      <c r="B40" s="22"/>
    </row>
    <row r="41" spans="1:16" x14ac:dyDescent="0.25">
      <c r="B41" s="22"/>
    </row>
    <row r="42" spans="1:16" x14ac:dyDescent="0.25">
      <c r="B42" s="22"/>
      <c r="C42" s="28"/>
      <c r="D42" s="28"/>
      <c r="E42" s="28"/>
      <c r="F42" s="28"/>
      <c r="G42" s="28"/>
      <c r="H42" s="28"/>
      <c r="I42" s="136"/>
      <c r="J42" s="28"/>
    </row>
    <row r="43" spans="1:16" x14ac:dyDescent="0.25">
      <c r="B43" s="22"/>
    </row>
    <row r="45" spans="1:16" x14ac:dyDescent="0.25">
      <c r="B45" s="41"/>
      <c r="C45" s="41"/>
      <c r="D45" s="41"/>
      <c r="E45" s="41"/>
      <c r="F45" s="41"/>
      <c r="G45" s="41"/>
      <c r="H45" s="41"/>
      <c r="I45" s="41"/>
      <c r="J45" s="41"/>
      <c r="K45" s="41"/>
    </row>
    <row r="46" spans="1:16" x14ac:dyDescent="0.25">
      <c r="B46" s="41"/>
      <c r="C46" s="41"/>
      <c r="D46" s="41"/>
      <c r="E46" s="41"/>
      <c r="F46" s="41"/>
      <c r="G46" s="41"/>
      <c r="H46" s="41"/>
      <c r="I46" s="41"/>
      <c r="J46" s="41"/>
      <c r="K46" s="41"/>
    </row>
    <row r="47" spans="1:16" x14ac:dyDescent="0.25">
      <c r="B47" s="22"/>
      <c r="C47" s="28"/>
      <c r="D47" s="28"/>
      <c r="E47" s="28"/>
      <c r="F47" s="28"/>
      <c r="G47" s="28"/>
      <c r="H47" s="136"/>
      <c r="I47" s="28"/>
      <c r="J47" s="41"/>
      <c r="K47" s="28"/>
    </row>
  </sheetData>
  <pageMargins left="0.7" right="0.7" top="0.75" bottom="0.75" header="0.3" footer="0.3"/>
  <pageSetup scale="77" orientation="landscape" verticalDpi="597" r:id="rId1"/>
  <drawing r:id="rId2"/>
  <legacyDrawing r:id="rId3"/>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pageSetUpPr fitToPage="1"/>
  </sheetPr>
  <dimension ref="A6:T47"/>
  <sheetViews>
    <sheetView zoomScale="90" zoomScaleNormal="90" workbookViewId="0"/>
  </sheetViews>
  <sheetFormatPr defaultRowHeight="15" x14ac:dyDescent="0.25"/>
  <cols>
    <col min="1" max="1" width="7.140625" customWidth="1"/>
    <col min="2" max="2" width="11.140625" customWidth="1"/>
    <col min="3" max="3" width="6.42578125" customWidth="1"/>
    <col min="4" max="4" width="8.85546875" customWidth="1"/>
    <col min="5" max="5" width="8.140625" customWidth="1"/>
    <col min="6" max="6" width="8.85546875" customWidth="1"/>
    <col min="7" max="7" width="9.140625" customWidth="1"/>
    <col min="8" max="8" width="9.42578125" customWidth="1"/>
    <col min="10" max="10" width="7.7109375" customWidth="1"/>
    <col min="12" max="12" width="11" customWidth="1"/>
    <col min="13" max="13" width="6.7109375" style="155" customWidth="1"/>
    <col min="14" max="14" width="10.28515625" customWidth="1"/>
  </cols>
  <sheetData>
    <row r="6" spans="1:15" x14ac:dyDescent="0.25">
      <c r="A6" s="7" t="s">
        <v>12</v>
      </c>
      <c r="B6" s="28"/>
      <c r="C6" s="28"/>
      <c r="D6" s="28"/>
      <c r="E6" s="28"/>
      <c r="F6" s="28"/>
      <c r="G6" s="28"/>
      <c r="H6" s="28"/>
      <c r="I6" s="136"/>
      <c r="J6" s="28"/>
      <c r="K6" s="28"/>
      <c r="L6" s="28"/>
      <c r="M6" s="154"/>
      <c r="N6" s="28"/>
      <c r="O6" s="28"/>
    </row>
    <row r="7" spans="1:15" x14ac:dyDescent="0.25">
      <c r="A7" s="30" t="s">
        <v>13</v>
      </c>
      <c r="B7" s="128">
        <v>41401</v>
      </c>
    </row>
    <row r="8" spans="1:15" x14ac:dyDescent="0.25">
      <c r="A8" s="28" t="s">
        <v>14</v>
      </c>
      <c r="B8" s="185" t="s">
        <v>519</v>
      </c>
      <c r="C8" s="28"/>
      <c r="D8" s="28"/>
      <c r="E8" s="28"/>
      <c r="F8" s="28"/>
      <c r="G8" s="28"/>
      <c r="H8" s="28"/>
      <c r="I8" s="136"/>
      <c r="J8" s="28"/>
      <c r="K8" s="28" t="s">
        <v>34</v>
      </c>
      <c r="L8" s="28" t="s">
        <v>34</v>
      </c>
      <c r="M8" s="154"/>
      <c r="N8" s="28"/>
    </row>
    <row r="9" spans="1:15" x14ac:dyDescent="0.25">
      <c r="A9" s="28" t="s">
        <v>15</v>
      </c>
      <c r="B9" s="136">
        <v>5</v>
      </c>
      <c r="C9" s="28" t="s">
        <v>496</v>
      </c>
      <c r="D9" s="28"/>
      <c r="E9" s="28"/>
      <c r="F9" s="28"/>
      <c r="G9" s="28"/>
      <c r="H9" s="28"/>
      <c r="I9" s="136"/>
      <c r="J9" s="28"/>
      <c r="K9" s="28"/>
      <c r="L9" s="28"/>
      <c r="M9" s="154"/>
      <c r="N9" s="28"/>
    </row>
    <row r="10" spans="1:15" ht="15.75" x14ac:dyDescent="0.25">
      <c r="A10" s="28" t="s">
        <v>16</v>
      </c>
      <c r="B10">
        <v>2000</v>
      </c>
      <c r="C10" s="31" t="s">
        <v>726</v>
      </c>
      <c r="D10" s="28"/>
      <c r="E10" s="28"/>
      <c r="F10" s="28"/>
      <c r="G10" s="28"/>
      <c r="H10" s="28"/>
      <c r="I10" s="136" t="s">
        <v>34</v>
      </c>
      <c r="J10" s="28" t="s">
        <v>34</v>
      </c>
      <c r="K10" s="28" t="s">
        <v>34</v>
      </c>
      <c r="L10" s="28" t="s">
        <v>34</v>
      </c>
      <c r="M10" s="154" t="s">
        <v>34</v>
      </c>
      <c r="N10" s="28" t="s">
        <v>34</v>
      </c>
    </row>
    <row r="11" spans="1:15" x14ac:dyDescent="0.25">
      <c r="A11" s="28"/>
      <c r="B11" s="243">
        <v>1400000000</v>
      </c>
      <c r="C11" s="31" t="s">
        <v>717</v>
      </c>
      <c r="D11" s="28"/>
      <c r="E11" s="28"/>
      <c r="F11" s="28"/>
      <c r="G11" s="28"/>
      <c r="H11" s="28"/>
      <c r="I11" s="136"/>
      <c r="J11" s="28"/>
      <c r="K11" s="28" t="s">
        <v>34</v>
      </c>
      <c r="L11" s="28"/>
      <c r="M11" s="154"/>
      <c r="N11" s="28"/>
    </row>
    <row r="12" spans="1:15" x14ac:dyDescent="0.25">
      <c r="A12" s="28"/>
      <c r="B12">
        <v>95</v>
      </c>
      <c r="C12" s="31" t="s">
        <v>724</v>
      </c>
      <c r="D12" s="28"/>
      <c r="E12" s="28"/>
      <c r="F12" s="28"/>
      <c r="G12" s="28"/>
      <c r="H12" s="28"/>
      <c r="I12" s="136"/>
      <c r="J12" s="28"/>
      <c r="K12" s="28"/>
      <c r="L12" s="28"/>
      <c r="M12" s="154"/>
      <c r="N12" s="28"/>
    </row>
    <row r="13" spans="1:15" x14ac:dyDescent="0.25">
      <c r="A13" s="28"/>
      <c r="B13" s="244">
        <v>6</v>
      </c>
      <c r="C13" s="28" t="s">
        <v>697</v>
      </c>
      <c r="D13" s="28"/>
      <c r="E13" s="28"/>
      <c r="F13" s="28"/>
      <c r="G13" s="28"/>
      <c r="H13" s="28"/>
      <c r="I13" s="251"/>
      <c r="J13" s="28"/>
      <c r="K13" s="28"/>
      <c r="L13" s="28"/>
      <c r="M13" s="154"/>
      <c r="N13" s="28"/>
    </row>
    <row r="14" spans="1:15" x14ac:dyDescent="0.25">
      <c r="A14" s="28"/>
      <c r="B14" s="244">
        <v>100</v>
      </c>
      <c r="C14" s="87" t="s">
        <v>696</v>
      </c>
      <c r="D14" s="28"/>
      <c r="E14" s="28"/>
      <c r="F14" s="28"/>
      <c r="G14" s="28"/>
      <c r="H14" s="28"/>
      <c r="I14" s="251"/>
      <c r="J14" s="28"/>
      <c r="K14" s="28"/>
      <c r="L14" s="28"/>
      <c r="M14" s="154"/>
      <c r="N14" s="28"/>
    </row>
    <row r="15" spans="1:15" x14ac:dyDescent="0.25">
      <c r="A15" s="28"/>
      <c r="B15" s="244">
        <v>0</v>
      </c>
      <c r="C15" s="87" t="s">
        <v>698</v>
      </c>
      <c r="D15" s="28"/>
      <c r="E15" s="28"/>
      <c r="F15" s="28"/>
      <c r="G15" s="28"/>
      <c r="H15" s="28"/>
      <c r="I15" s="251"/>
      <c r="J15" s="28"/>
      <c r="K15" s="28"/>
      <c r="L15" s="28"/>
      <c r="M15" s="154"/>
      <c r="N15" s="28"/>
    </row>
    <row r="16" spans="1:15" x14ac:dyDescent="0.25">
      <c r="A16" s="28"/>
      <c r="B16" s="245">
        <f>(B12*B13/100*1000)/(B10+B12-B14+B15)*1000</f>
        <v>2857.1428571428573</v>
      </c>
      <c r="C16" s="28" t="s">
        <v>700</v>
      </c>
      <c r="D16" s="28"/>
      <c r="E16" s="28"/>
      <c r="F16" s="28"/>
      <c r="G16" s="28"/>
      <c r="H16" s="28"/>
      <c r="I16" s="251"/>
      <c r="J16" s="28"/>
      <c r="K16" s="28"/>
      <c r="L16" s="28"/>
      <c r="M16" s="154"/>
      <c r="N16" s="28"/>
    </row>
    <row r="17" spans="1:20" ht="15.75" thickBot="1" x14ac:dyDescent="0.3">
      <c r="A17" s="28"/>
      <c r="B17" s="28" t="s">
        <v>647</v>
      </c>
      <c r="C17" s="28"/>
      <c r="D17" s="28"/>
      <c r="E17" s="28"/>
      <c r="F17" s="28"/>
      <c r="G17" s="28"/>
      <c r="H17" s="28"/>
      <c r="I17" s="136"/>
      <c r="J17" s="28"/>
      <c r="K17" s="28"/>
      <c r="L17" s="28"/>
      <c r="M17" s="154"/>
      <c r="N17" s="28"/>
    </row>
    <row r="18" spans="1:20"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56" t="s">
        <v>23</v>
      </c>
      <c r="N18" s="14" t="s">
        <v>24</v>
      </c>
      <c r="O18" s="14" t="s">
        <v>25</v>
      </c>
      <c r="P18" s="14" t="s">
        <v>678</v>
      </c>
      <c r="Q18" s="14" t="s">
        <v>681</v>
      </c>
      <c r="R18" s="14" t="s">
        <v>897</v>
      </c>
      <c r="S18" s="14" t="s">
        <v>727</v>
      </c>
      <c r="T18" s="14" t="s">
        <v>729</v>
      </c>
    </row>
    <row r="19" spans="1:20" ht="15.75" thickBot="1" x14ac:dyDescent="0.3">
      <c r="A19" s="32">
        <v>0</v>
      </c>
      <c r="B19" s="91">
        <v>19.5</v>
      </c>
      <c r="C19" s="105">
        <v>9.23</v>
      </c>
      <c r="D19" s="105">
        <v>9.2899999999999991</v>
      </c>
      <c r="E19" s="91">
        <v>0.72</v>
      </c>
      <c r="F19" s="91">
        <v>0.28999999999999998</v>
      </c>
      <c r="G19" s="105">
        <v>23.9</v>
      </c>
      <c r="H19" s="122">
        <v>2470</v>
      </c>
      <c r="I19" s="124">
        <v>62500000</v>
      </c>
      <c r="J19" s="125">
        <f>LOG(I$19)-LOG(I19)</f>
        <v>0</v>
      </c>
      <c r="K19" s="124">
        <v>35900000</v>
      </c>
      <c r="L19" s="91" t="s">
        <v>26</v>
      </c>
      <c r="M19" s="119"/>
      <c r="N19" s="119"/>
      <c r="O19" s="99"/>
      <c r="P19" s="233">
        <f t="shared" ref="P19:P24" si="0">B$16*A19</f>
        <v>0</v>
      </c>
      <c r="Q19" s="233">
        <f>6/LINEST($J19:$J21,$P19:$P21,FALSE)</f>
        <v>15893.88181428877</v>
      </c>
      <c r="R19" s="233">
        <f>Q19/3000</f>
        <v>5.2979606047629231</v>
      </c>
      <c r="S19" s="233">
        <f>(J27/LINEST($J19:$J21,$P19:$P21,FALSE))/$B$16</f>
        <v>7.2317162255013896</v>
      </c>
      <c r="T19" s="233">
        <f>(J27/LINEST($J19:$J21,$P19:$P21,FALSE))/$B$16</f>
        <v>7.2317162255013896</v>
      </c>
    </row>
    <row r="20" spans="1:20" ht="15.75" thickBot="1" x14ac:dyDescent="0.3">
      <c r="A20" s="32">
        <v>3</v>
      </c>
      <c r="B20" s="103">
        <v>19.5</v>
      </c>
      <c r="C20" s="100">
        <v>9.23</v>
      </c>
      <c r="D20" s="105">
        <v>9.2899999999999991</v>
      </c>
      <c r="E20" s="58">
        <v>2900</v>
      </c>
      <c r="F20" s="58">
        <v>0.68</v>
      </c>
      <c r="G20" s="100">
        <v>22.1</v>
      </c>
      <c r="H20" s="113">
        <v>2530</v>
      </c>
      <c r="I20" s="124">
        <v>33600</v>
      </c>
      <c r="J20" s="125">
        <f>LOG(I$19)-LOG(I20)</f>
        <v>3.2695407399542313</v>
      </c>
      <c r="K20" s="124">
        <v>3320000</v>
      </c>
      <c r="L20" s="50">
        <f>LOG(K19)-LOG(K20)</f>
        <v>1.0339563648742827</v>
      </c>
      <c r="M20" s="120"/>
      <c r="N20" s="120"/>
      <c r="O20" s="99"/>
      <c r="P20" s="233">
        <f t="shared" si="0"/>
        <v>8571.4285714285725</v>
      </c>
      <c r="Q20" s="225"/>
    </row>
    <row r="21" spans="1:20" ht="15.75" thickBot="1" x14ac:dyDescent="0.3">
      <c r="A21" s="32">
        <v>5</v>
      </c>
      <c r="B21" s="103">
        <v>19.5</v>
      </c>
      <c r="C21" s="100">
        <v>9.24</v>
      </c>
      <c r="D21" s="105">
        <v>9.2899999999999991</v>
      </c>
      <c r="E21" s="58">
        <v>2800</v>
      </c>
      <c r="F21" s="58">
        <v>0.51</v>
      </c>
      <c r="G21" s="100">
        <v>21.3</v>
      </c>
      <c r="H21" s="113"/>
      <c r="I21" s="124">
        <v>265</v>
      </c>
      <c r="J21" s="125">
        <f>LOG(I$19)-LOG(I21)</f>
        <v>5.3726341434072671</v>
      </c>
      <c r="K21" s="124">
        <v>1</v>
      </c>
      <c r="L21" s="50" t="s">
        <v>521</v>
      </c>
      <c r="M21" s="120"/>
      <c r="N21" s="120"/>
      <c r="O21" s="99"/>
      <c r="P21" s="233">
        <f t="shared" si="0"/>
        <v>14285.714285714286</v>
      </c>
    </row>
    <row r="22" spans="1:20" ht="15.75" thickBot="1" x14ac:dyDescent="0.3">
      <c r="A22" s="32">
        <v>10</v>
      </c>
      <c r="B22" s="103">
        <v>19.8</v>
      </c>
      <c r="C22" s="100">
        <v>9.26</v>
      </c>
      <c r="D22" s="105">
        <v>9.2899999999999991</v>
      </c>
      <c r="E22" s="58">
        <v>3000</v>
      </c>
      <c r="F22" s="58">
        <v>0.65</v>
      </c>
      <c r="G22" s="100">
        <v>18.7</v>
      </c>
      <c r="H22" s="113"/>
      <c r="I22" s="124">
        <v>0</v>
      </c>
      <c r="J22" s="50" t="s">
        <v>520</v>
      </c>
      <c r="K22" s="124">
        <v>0</v>
      </c>
      <c r="L22" s="50" t="s">
        <v>521</v>
      </c>
      <c r="M22" s="120"/>
      <c r="N22" s="120"/>
      <c r="O22" s="99"/>
      <c r="P22" s="233">
        <f t="shared" si="0"/>
        <v>28571.428571428572</v>
      </c>
    </row>
    <row r="23" spans="1:20" ht="15.75" thickBot="1" x14ac:dyDescent="0.3">
      <c r="A23" s="32">
        <v>15</v>
      </c>
      <c r="B23" s="103">
        <v>20.6</v>
      </c>
      <c r="C23" s="100">
        <v>9.27</v>
      </c>
      <c r="D23" s="105">
        <v>9.2899999999999991</v>
      </c>
      <c r="E23" s="58">
        <v>2900</v>
      </c>
      <c r="F23" s="58">
        <v>0.68</v>
      </c>
      <c r="G23" s="100">
        <v>21.2</v>
      </c>
      <c r="H23" s="113"/>
      <c r="I23" s="124">
        <v>0</v>
      </c>
      <c r="J23" s="50" t="s">
        <v>520</v>
      </c>
      <c r="K23" s="124">
        <v>0</v>
      </c>
      <c r="L23" s="50" t="s">
        <v>521</v>
      </c>
      <c r="M23" s="121"/>
      <c r="N23" s="121"/>
      <c r="O23" s="99"/>
      <c r="P23" s="233">
        <f t="shared" si="0"/>
        <v>42857.142857142862</v>
      </c>
    </row>
    <row r="24" spans="1:20" ht="15.75" thickBot="1" x14ac:dyDescent="0.3">
      <c r="A24" s="32">
        <v>30</v>
      </c>
      <c r="B24" s="103">
        <v>20.9</v>
      </c>
      <c r="C24" s="100">
        <v>9.27</v>
      </c>
      <c r="D24" s="100">
        <v>9.3000000000000007</v>
      </c>
      <c r="E24" s="58">
        <v>2900</v>
      </c>
      <c r="F24" s="58">
        <v>0.65</v>
      </c>
      <c r="G24" s="100">
        <v>25.7</v>
      </c>
      <c r="H24" s="113"/>
      <c r="I24" s="124">
        <v>0</v>
      </c>
      <c r="J24" s="50" t="s">
        <v>520</v>
      </c>
      <c r="K24" s="124">
        <v>0</v>
      </c>
      <c r="L24" s="50" t="s">
        <v>521</v>
      </c>
      <c r="M24" s="121"/>
      <c r="N24" s="121"/>
      <c r="O24" s="89"/>
      <c r="P24" s="233">
        <f t="shared" si="0"/>
        <v>85714.285714285725</v>
      </c>
    </row>
    <row r="25" spans="1:20" ht="15.75" thickBot="1" x14ac:dyDescent="0.3">
      <c r="A25" s="32">
        <v>60</v>
      </c>
      <c r="B25" s="103">
        <v>19.8</v>
      </c>
      <c r="C25" s="100">
        <v>9.27</v>
      </c>
      <c r="D25" s="100">
        <v>9.3000000000000007</v>
      </c>
      <c r="E25" s="58">
        <v>3000</v>
      </c>
      <c r="F25" s="58">
        <v>0.59</v>
      </c>
      <c r="G25" s="100">
        <v>22.9</v>
      </c>
      <c r="H25" s="113">
        <v>2480</v>
      </c>
      <c r="I25" s="124">
        <v>0</v>
      </c>
      <c r="J25" s="50" t="s">
        <v>520</v>
      </c>
      <c r="K25" s="124">
        <v>0</v>
      </c>
      <c r="L25" s="50" t="s">
        <v>521</v>
      </c>
      <c r="M25" s="121">
        <v>45</v>
      </c>
      <c r="N25" s="121">
        <v>22626</v>
      </c>
      <c r="O25" s="89"/>
      <c r="P25" s="233"/>
    </row>
    <row r="26" spans="1:20" ht="15.75" thickBot="1" x14ac:dyDescent="0.3">
      <c r="A26" s="32" t="s">
        <v>516</v>
      </c>
      <c r="B26" s="103">
        <v>19.8</v>
      </c>
      <c r="C26" s="100">
        <v>9.27</v>
      </c>
      <c r="D26" s="100">
        <v>9.3000000000000007</v>
      </c>
      <c r="E26" s="58">
        <v>3000</v>
      </c>
      <c r="F26" s="58">
        <v>0.62</v>
      </c>
      <c r="G26" s="100">
        <v>23.6</v>
      </c>
      <c r="H26" s="113">
        <v>2460</v>
      </c>
      <c r="I26" s="124">
        <v>0</v>
      </c>
      <c r="J26" s="50" t="s">
        <v>520</v>
      </c>
      <c r="K26" s="124">
        <v>0</v>
      </c>
      <c r="L26" s="50" t="s">
        <v>521</v>
      </c>
      <c r="M26" s="121">
        <v>52</v>
      </c>
      <c r="N26" s="121">
        <v>21959</v>
      </c>
      <c r="O26" s="89">
        <v>6200</v>
      </c>
    </row>
    <row r="27" spans="1:20" x14ac:dyDescent="0.25">
      <c r="A27" s="142"/>
      <c r="B27" s="144">
        <f>AVERAGE(B20:B21)</f>
        <v>19.5</v>
      </c>
      <c r="C27" s="144">
        <f>AVERAGE(C20:C21)</f>
        <v>9.2349999999999994</v>
      </c>
      <c r="D27" s="144"/>
      <c r="E27" s="145"/>
      <c r="F27" s="145"/>
      <c r="G27" s="144"/>
      <c r="H27" s="146"/>
      <c r="I27" s="147"/>
      <c r="J27" s="148">
        <v>7.8</v>
      </c>
      <c r="K27" s="147" t="s">
        <v>728</v>
      </c>
      <c r="L27" s="149"/>
      <c r="M27" s="150"/>
      <c r="N27" s="150"/>
      <c r="O27" s="151"/>
    </row>
    <row r="28" spans="1:20" x14ac:dyDescent="0.25">
      <c r="A28" s="142"/>
      <c r="B28" s="143"/>
      <c r="C28" s="144"/>
      <c r="D28" s="144"/>
      <c r="E28" s="145"/>
      <c r="F28" s="145"/>
      <c r="G28" s="144"/>
      <c r="H28" s="146"/>
      <c r="I28" s="147"/>
      <c r="J28" s="148"/>
      <c r="K28" s="147"/>
      <c r="L28" s="149"/>
      <c r="M28" s="150"/>
      <c r="N28" s="150"/>
      <c r="O28" s="151"/>
    </row>
    <row r="29" spans="1:20" x14ac:dyDescent="0.25">
      <c r="A29" s="28" t="s">
        <v>140</v>
      </c>
      <c r="B29" s="28"/>
      <c r="C29" s="28"/>
      <c r="D29" s="28"/>
      <c r="E29" s="28"/>
      <c r="F29" s="28"/>
      <c r="G29" s="28"/>
      <c r="H29" s="28"/>
      <c r="I29" s="136"/>
      <c r="J29" s="115"/>
      <c r="K29" s="28"/>
      <c r="M29" s="154"/>
      <c r="N29" s="28"/>
    </row>
    <row r="30" spans="1:20" x14ac:dyDescent="0.25">
      <c r="A30" s="28"/>
      <c r="B30" s="28" t="s">
        <v>459</v>
      </c>
      <c r="C30" s="28"/>
      <c r="D30" s="28"/>
      <c r="E30" s="28"/>
      <c r="F30" s="28"/>
      <c r="G30" s="28"/>
      <c r="H30" s="28"/>
      <c r="I30" s="136"/>
      <c r="J30" s="28"/>
      <c r="K30" s="28" t="s">
        <v>34</v>
      </c>
      <c r="L30" s="28" t="s">
        <v>34</v>
      </c>
      <c r="M30" s="154" t="s">
        <v>34</v>
      </c>
      <c r="N30" s="28" t="s">
        <v>34</v>
      </c>
    </row>
    <row r="31" spans="1:20" x14ac:dyDescent="0.25">
      <c r="A31" s="28" t="s">
        <v>272</v>
      </c>
      <c r="B31" s="28"/>
      <c r="C31" s="28"/>
      <c r="D31" s="28"/>
      <c r="E31" s="28"/>
      <c r="F31" s="28"/>
      <c r="G31" s="28"/>
      <c r="H31" s="28"/>
      <c r="I31" s="136"/>
      <c r="J31" s="28"/>
      <c r="K31" s="28" t="s">
        <v>34</v>
      </c>
      <c r="L31" s="28" t="s">
        <v>34</v>
      </c>
      <c r="M31" s="154"/>
      <c r="N31" s="28"/>
    </row>
    <row r="32" spans="1:20" x14ac:dyDescent="0.25">
      <c r="A32" s="28"/>
      <c r="F32" s="28"/>
      <c r="G32" s="28"/>
      <c r="H32" s="28"/>
      <c r="I32" s="136"/>
      <c r="J32" s="28"/>
      <c r="K32" s="28" t="s">
        <v>34</v>
      </c>
      <c r="L32" s="28" t="s">
        <v>34</v>
      </c>
      <c r="M32" s="154" t="s">
        <v>34</v>
      </c>
      <c r="N32" s="28"/>
    </row>
    <row r="33" spans="1:16" x14ac:dyDescent="0.25">
      <c r="A33" s="28"/>
      <c r="F33" s="28"/>
      <c r="G33" s="28"/>
      <c r="H33" s="28"/>
      <c r="I33" s="136"/>
      <c r="J33" s="28"/>
      <c r="K33" s="28"/>
      <c r="L33" s="28"/>
      <c r="M33" s="154"/>
      <c r="N33" s="28"/>
    </row>
    <row r="34" spans="1:16" x14ac:dyDescent="0.25">
      <c r="A34" s="19" t="s">
        <v>28</v>
      </c>
      <c r="B34" s="28"/>
      <c r="C34" s="427"/>
      <c r="D34" s="427"/>
      <c r="E34" s="427"/>
      <c r="F34" s="427"/>
      <c r="G34" s="427"/>
      <c r="H34" s="427"/>
      <c r="I34" s="427"/>
      <c r="J34" s="427"/>
      <c r="K34" s="427"/>
      <c r="L34" s="427"/>
      <c r="M34" s="427"/>
      <c r="N34" s="427"/>
      <c r="O34" s="427"/>
      <c r="P34" s="427"/>
    </row>
    <row r="35" spans="1:16" x14ac:dyDescent="0.25">
      <c r="A35" s="28"/>
      <c r="B35" s="22"/>
      <c r="C35" s="138"/>
      <c r="D35" s="138"/>
      <c r="E35" s="138"/>
      <c r="F35" s="138"/>
      <c r="G35" s="138"/>
      <c r="H35" s="138"/>
      <c r="I35" s="138"/>
      <c r="J35" s="138"/>
      <c r="K35" s="138"/>
      <c r="L35" s="138"/>
      <c r="M35" s="158"/>
      <c r="N35" s="138"/>
    </row>
    <row r="36" spans="1:16" x14ac:dyDescent="0.25">
      <c r="A36" s="28"/>
      <c r="B36" s="41"/>
      <c r="C36" s="41"/>
      <c r="D36" s="41"/>
      <c r="E36" s="41"/>
      <c r="F36" s="41"/>
      <c r="G36" s="41"/>
      <c r="H36" s="41"/>
      <c r="I36" s="41"/>
      <c r="J36" s="41"/>
      <c r="K36" s="41"/>
      <c r="L36" s="41"/>
      <c r="M36" s="154"/>
      <c r="N36" s="28"/>
    </row>
    <row r="37" spans="1:16" x14ac:dyDescent="0.25">
      <c r="A37" s="28"/>
      <c r="B37" s="41"/>
      <c r="C37" s="41"/>
      <c r="D37" s="41"/>
      <c r="E37" s="41"/>
      <c r="F37" s="41"/>
      <c r="G37" s="41"/>
      <c r="H37" s="41"/>
      <c r="I37" s="41"/>
      <c r="J37" s="41"/>
      <c r="K37" s="41"/>
      <c r="L37" s="41"/>
      <c r="M37" s="154"/>
      <c r="N37" s="28"/>
    </row>
    <row r="38" spans="1:16" x14ac:dyDescent="0.25">
      <c r="B38" s="137"/>
      <c r="C38" s="137"/>
      <c r="D38" s="137"/>
      <c r="E38" s="137"/>
      <c r="F38" s="137"/>
      <c r="G38" s="137"/>
      <c r="H38" s="137"/>
      <c r="I38" s="137"/>
      <c r="J38" s="137"/>
      <c r="K38" s="137"/>
      <c r="L38" s="137"/>
      <c r="M38" s="159"/>
      <c r="N38" s="137"/>
    </row>
    <row r="39" spans="1:16" x14ac:dyDescent="0.25">
      <c r="B39" s="41"/>
      <c r="C39" s="64"/>
      <c r="D39" s="64"/>
      <c r="E39" s="64"/>
      <c r="F39" s="64"/>
      <c r="G39" s="64"/>
      <c r="H39" s="64"/>
      <c r="I39" s="64"/>
      <c r="J39" s="64"/>
      <c r="K39" s="64"/>
      <c r="L39" s="65"/>
    </row>
    <row r="40" spans="1:16" x14ac:dyDescent="0.25">
      <c r="B40" s="22"/>
    </row>
    <row r="41" spans="1:16" x14ac:dyDescent="0.25">
      <c r="B41" s="22"/>
    </row>
    <row r="42" spans="1:16" x14ac:dyDescent="0.25">
      <c r="B42" s="22"/>
      <c r="C42" s="28"/>
      <c r="D42" s="28"/>
      <c r="E42" s="28"/>
      <c r="F42" s="28"/>
      <c r="G42" s="28"/>
      <c r="H42" s="28"/>
      <c r="I42" s="136"/>
      <c r="J42" s="28"/>
    </row>
    <row r="43" spans="1:16" x14ac:dyDescent="0.25">
      <c r="B43" s="22"/>
    </row>
    <row r="45" spans="1:16" x14ac:dyDescent="0.25">
      <c r="B45" s="41"/>
      <c r="C45" s="41"/>
      <c r="D45" s="41"/>
      <c r="E45" s="41"/>
      <c r="F45" s="41"/>
      <c r="G45" s="41"/>
      <c r="H45" s="41"/>
      <c r="I45" s="41"/>
      <c r="J45" s="41"/>
      <c r="K45" s="41"/>
    </row>
    <row r="46" spans="1:16" x14ac:dyDescent="0.25">
      <c r="B46" s="41"/>
      <c r="C46" s="41"/>
      <c r="D46" s="41"/>
      <c r="E46" s="41"/>
      <c r="F46" s="41"/>
      <c r="G46" s="41"/>
      <c r="H46" s="41"/>
      <c r="I46" s="41"/>
      <c r="J46" s="41"/>
      <c r="K46" s="41"/>
    </row>
    <row r="47" spans="1:16" x14ac:dyDescent="0.25">
      <c r="B47" s="22"/>
      <c r="C47" s="28"/>
      <c r="D47" s="28"/>
      <c r="E47" s="28"/>
      <c r="F47" s="28"/>
      <c r="G47" s="28"/>
      <c r="H47" s="136"/>
      <c r="I47" s="28"/>
      <c r="J47" s="41"/>
      <c r="K47" s="28"/>
    </row>
  </sheetData>
  <mergeCells count="1">
    <mergeCell ref="C34:P34"/>
  </mergeCells>
  <pageMargins left="0.7" right="0.7" top="0.75" bottom="0.75" header="0.3" footer="0.3"/>
  <pageSetup scale="72" orientation="landscape" verticalDpi="597" r:id="rId1"/>
  <drawing r:id="rId2"/>
  <legacyDrawing r:id="rId3"/>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2">
    <pageSetUpPr fitToPage="1"/>
  </sheetPr>
  <dimension ref="A6:S46"/>
  <sheetViews>
    <sheetView zoomScale="90" zoomScaleNormal="90" workbookViewId="0"/>
  </sheetViews>
  <sheetFormatPr defaultRowHeight="15" x14ac:dyDescent="0.25"/>
  <cols>
    <col min="1" max="1" width="7.140625" customWidth="1"/>
    <col min="2" max="2" width="11.140625" customWidth="1"/>
    <col min="3" max="3" width="6.42578125" customWidth="1"/>
    <col min="4" max="4" width="8.85546875" customWidth="1"/>
    <col min="5" max="5" width="8.140625" customWidth="1"/>
    <col min="6" max="6" width="8.85546875" customWidth="1"/>
    <col min="7" max="7" width="9.140625" customWidth="1"/>
    <col min="8" max="8" width="9.42578125" customWidth="1"/>
    <col min="10" max="10" width="7.7109375" customWidth="1"/>
    <col min="12" max="12" width="11" customWidth="1"/>
    <col min="13" max="13" width="6.7109375" customWidth="1"/>
    <col min="14" max="14" width="10.28515625" customWidth="1"/>
  </cols>
  <sheetData>
    <row r="6" spans="1:15" x14ac:dyDescent="0.25">
      <c r="A6" s="7" t="s">
        <v>12</v>
      </c>
      <c r="B6" s="28"/>
      <c r="C6" s="28"/>
      <c r="D6" s="28"/>
      <c r="E6" s="28"/>
      <c r="F6" s="28"/>
      <c r="G6" s="28"/>
      <c r="H6" s="28"/>
      <c r="I6" s="139"/>
      <c r="J6" s="28"/>
      <c r="K6" s="28"/>
      <c r="L6" s="28"/>
      <c r="M6" s="28"/>
      <c r="N6" s="28"/>
      <c r="O6" s="28"/>
    </row>
    <row r="7" spans="1:15" x14ac:dyDescent="0.25">
      <c r="A7" s="30" t="s">
        <v>13</v>
      </c>
      <c r="B7" s="128">
        <v>41407</v>
      </c>
    </row>
    <row r="8" spans="1:15" x14ac:dyDescent="0.25">
      <c r="A8" s="28" t="s">
        <v>14</v>
      </c>
      <c r="B8" s="139" t="s">
        <v>522</v>
      </c>
      <c r="C8" s="28"/>
      <c r="D8" s="28"/>
      <c r="E8" s="28"/>
      <c r="F8" s="28"/>
      <c r="G8" s="28"/>
      <c r="H8" s="28"/>
      <c r="I8" s="139"/>
      <c r="J8" s="28"/>
      <c r="K8" s="28" t="s">
        <v>34</v>
      </c>
      <c r="L8" s="28" t="s">
        <v>34</v>
      </c>
      <c r="M8" s="28"/>
      <c r="N8" s="28"/>
    </row>
    <row r="9" spans="1:15" x14ac:dyDescent="0.25">
      <c r="A9" s="28" t="s">
        <v>15</v>
      </c>
      <c r="B9" s="139">
        <v>5</v>
      </c>
      <c r="C9" s="28" t="s">
        <v>529</v>
      </c>
      <c r="D9" s="28"/>
      <c r="E9" s="28"/>
      <c r="F9" s="28"/>
      <c r="G9" s="28"/>
      <c r="H9" s="28"/>
      <c r="I9" s="139"/>
      <c r="J9" s="28"/>
      <c r="K9" s="28"/>
      <c r="L9" s="28"/>
      <c r="M9" s="28"/>
      <c r="N9" s="28"/>
    </row>
    <row r="10" spans="1:15" ht="15.75" x14ac:dyDescent="0.25">
      <c r="A10" s="28" t="s">
        <v>16</v>
      </c>
      <c r="B10">
        <v>2000</v>
      </c>
      <c r="C10" s="31" t="s">
        <v>726</v>
      </c>
      <c r="D10" s="28"/>
      <c r="E10" s="28"/>
      <c r="F10" s="28"/>
      <c r="G10" s="28"/>
      <c r="H10" s="28"/>
      <c r="I10" s="139" t="s">
        <v>34</v>
      </c>
      <c r="J10" s="28" t="s">
        <v>34</v>
      </c>
      <c r="K10" s="28" t="s">
        <v>34</v>
      </c>
      <c r="L10" s="28" t="s">
        <v>34</v>
      </c>
      <c r="M10" s="28" t="s">
        <v>34</v>
      </c>
      <c r="N10" s="28" t="s">
        <v>34</v>
      </c>
    </row>
    <row r="11" spans="1:15" x14ac:dyDescent="0.25">
      <c r="A11" s="28"/>
      <c r="B11" s="243">
        <v>1400000000</v>
      </c>
      <c r="C11" s="31" t="s">
        <v>717</v>
      </c>
      <c r="D11" s="28"/>
      <c r="E11" s="28"/>
      <c r="F11" s="28"/>
      <c r="G11" s="28"/>
      <c r="H11" s="28"/>
      <c r="I11" s="139"/>
      <c r="J11" s="28"/>
      <c r="K11" s="28" t="s">
        <v>34</v>
      </c>
      <c r="L11" s="28"/>
      <c r="M11" s="28"/>
      <c r="N11" s="28"/>
    </row>
    <row r="12" spans="1:15" x14ac:dyDescent="0.25">
      <c r="A12" s="28"/>
      <c r="B12">
        <v>95</v>
      </c>
      <c r="C12" s="31" t="s">
        <v>724</v>
      </c>
      <c r="D12" s="28"/>
      <c r="E12" s="28"/>
      <c r="F12" s="28"/>
      <c r="G12" s="28"/>
      <c r="H12" s="28"/>
      <c r="I12" s="139"/>
      <c r="J12" s="28"/>
      <c r="K12" s="28"/>
      <c r="L12" s="28"/>
      <c r="M12" s="28"/>
      <c r="N12" s="28"/>
    </row>
    <row r="13" spans="1:15" x14ac:dyDescent="0.25">
      <c r="A13" s="28"/>
      <c r="B13" s="244">
        <v>6</v>
      </c>
      <c r="C13" s="28" t="s">
        <v>697</v>
      </c>
      <c r="D13" s="28"/>
      <c r="E13" s="28"/>
      <c r="F13" s="28"/>
      <c r="G13" s="28"/>
      <c r="H13" s="28"/>
      <c r="I13" s="251"/>
      <c r="J13" s="28"/>
      <c r="K13" s="28"/>
      <c r="L13" s="28"/>
      <c r="M13" s="28"/>
      <c r="N13" s="28"/>
    </row>
    <row r="14" spans="1:15" x14ac:dyDescent="0.25">
      <c r="A14" s="28"/>
      <c r="B14" s="244">
        <v>100</v>
      </c>
      <c r="C14" s="87" t="s">
        <v>696</v>
      </c>
      <c r="D14" s="28"/>
      <c r="E14" s="28"/>
      <c r="F14" s="28"/>
      <c r="G14" s="28"/>
      <c r="H14" s="28"/>
      <c r="I14" s="251"/>
      <c r="J14" s="28"/>
      <c r="K14" s="28"/>
      <c r="L14" s="28"/>
      <c r="M14" s="28"/>
      <c r="N14" s="28"/>
    </row>
    <row r="15" spans="1:15" x14ac:dyDescent="0.25">
      <c r="A15" s="28"/>
      <c r="B15" s="244">
        <v>0</v>
      </c>
      <c r="C15" s="87" t="s">
        <v>698</v>
      </c>
      <c r="D15" s="28"/>
      <c r="E15" s="28"/>
      <c r="F15" s="28"/>
      <c r="G15" s="28"/>
      <c r="H15" s="28"/>
      <c r="I15" s="251"/>
      <c r="J15" s="28"/>
      <c r="K15" s="28"/>
      <c r="L15" s="28"/>
      <c r="M15" s="28"/>
      <c r="N15" s="28"/>
    </row>
    <row r="16" spans="1:15" x14ac:dyDescent="0.25">
      <c r="A16" s="28"/>
      <c r="B16" s="245">
        <f>(B12*B13/100*1000)/(B10+B12-B14+B15)*1000</f>
        <v>2857.1428571428573</v>
      </c>
      <c r="C16" s="28" t="s">
        <v>700</v>
      </c>
      <c r="D16" s="28"/>
      <c r="E16" s="28"/>
      <c r="F16" s="28"/>
      <c r="G16" s="28"/>
      <c r="H16" s="28"/>
      <c r="I16" s="251"/>
      <c r="J16" s="28"/>
      <c r="K16" s="28"/>
      <c r="L16" s="28"/>
      <c r="M16" s="28"/>
      <c r="N16" s="28"/>
    </row>
    <row r="17" spans="1:19" ht="15.75" thickBot="1" x14ac:dyDescent="0.3">
      <c r="A17" s="28"/>
      <c r="B17" s="28" t="s">
        <v>647</v>
      </c>
      <c r="C17" s="28"/>
      <c r="D17" s="28"/>
      <c r="E17" s="28"/>
      <c r="F17" s="28"/>
      <c r="G17" s="28"/>
      <c r="H17" s="28"/>
      <c r="I17" s="139"/>
      <c r="J17" s="28"/>
      <c r="K17" s="28"/>
      <c r="L17" s="28"/>
      <c r="M17" s="28"/>
      <c r="N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91">
        <v>20.2</v>
      </c>
      <c r="C19" s="105">
        <v>9.35</v>
      </c>
      <c r="D19" s="105">
        <v>9.26</v>
      </c>
      <c r="E19" s="91">
        <v>0.35</v>
      </c>
      <c r="F19" s="91">
        <v>0.36</v>
      </c>
      <c r="G19" s="105">
        <v>19.3</v>
      </c>
      <c r="H19" s="122">
        <v>2840</v>
      </c>
      <c r="I19" s="124">
        <v>4100000</v>
      </c>
      <c r="J19" s="125">
        <f>LOG(I$19)-LOG(I19)</f>
        <v>0</v>
      </c>
      <c r="K19" s="124">
        <v>24000000</v>
      </c>
      <c r="L19" s="91" t="s">
        <v>26</v>
      </c>
      <c r="M19" s="116"/>
      <c r="N19" s="119"/>
      <c r="O19" s="99"/>
      <c r="P19" s="233">
        <f t="shared" ref="P19:P24" si="0">B$16*A19</f>
        <v>0</v>
      </c>
      <c r="Q19" s="233">
        <f>6/LINEST($J19:$J21,$P19:$P21,FALSE)</f>
        <v>36773.140176026107</v>
      </c>
      <c r="R19" s="233">
        <f>Q19/3000</f>
        <v>12.257713392008702</v>
      </c>
      <c r="S19" s="233">
        <f>(J26/LINEST($J19:$J21,$P19:$P21,FALSE))/$B$16</f>
        <v>14.179109966206063</v>
      </c>
    </row>
    <row r="20" spans="1:19" ht="15.75" thickBot="1" x14ac:dyDescent="0.3">
      <c r="A20" s="32">
        <v>3</v>
      </c>
      <c r="B20" s="103">
        <v>20.2</v>
      </c>
      <c r="C20" s="100">
        <v>9.35</v>
      </c>
      <c r="D20" s="105">
        <v>9.26</v>
      </c>
      <c r="E20" s="58">
        <v>3400</v>
      </c>
      <c r="F20" s="58">
        <v>0.31</v>
      </c>
      <c r="G20" s="100">
        <v>19.3</v>
      </c>
      <c r="H20" s="113">
        <v>2220</v>
      </c>
      <c r="I20" s="124">
        <v>46000</v>
      </c>
      <c r="J20" s="125">
        <f>LOG(I$19)-LOG(I20)</f>
        <v>1.9500260250381611</v>
      </c>
      <c r="K20" s="124">
        <v>4130000</v>
      </c>
      <c r="L20" s="50">
        <f>LOG(K19)-LOG(K20)</f>
        <v>0.76426119005520565</v>
      </c>
      <c r="M20" s="117"/>
      <c r="N20" s="120"/>
      <c r="O20" s="99"/>
      <c r="P20" s="233">
        <f t="shared" si="0"/>
        <v>8571.4285714285725</v>
      </c>
      <c r="Q20" s="225"/>
    </row>
    <row r="21" spans="1:19" ht="15.75" thickBot="1" x14ac:dyDescent="0.3">
      <c r="A21" s="32">
        <v>5</v>
      </c>
      <c r="B21" s="103">
        <v>20.2</v>
      </c>
      <c r="C21" s="100">
        <v>9.35</v>
      </c>
      <c r="D21" s="105">
        <v>9.26</v>
      </c>
      <c r="E21" s="58">
        <v>3300</v>
      </c>
      <c r="F21" s="58">
        <v>0.33</v>
      </c>
      <c r="G21" s="100">
        <v>18.8</v>
      </c>
      <c r="H21" s="113"/>
      <c r="I21" s="124">
        <v>41000</v>
      </c>
      <c r="J21" s="125">
        <f>LOG(I$19)-LOG(I21)</f>
        <v>2</v>
      </c>
      <c r="K21" s="124">
        <v>4000</v>
      </c>
      <c r="L21" s="50">
        <f>LOG(K19)-LOG(K21)</f>
        <v>3.7781512503836439</v>
      </c>
      <c r="M21" s="117"/>
      <c r="N21" s="120"/>
      <c r="O21" s="99"/>
      <c r="P21" s="233">
        <f t="shared" si="0"/>
        <v>14285.714285714286</v>
      </c>
    </row>
    <row r="22" spans="1:19" ht="15.75" thickBot="1" x14ac:dyDescent="0.3">
      <c r="A22" s="32">
        <v>10</v>
      </c>
      <c r="B22" s="103">
        <v>20.3</v>
      </c>
      <c r="C22" s="100">
        <v>9.36</v>
      </c>
      <c r="D22" s="105">
        <v>9.26</v>
      </c>
      <c r="E22" s="58">
        <v>3300</v>
      </c>
      <c r="F22" s="58">
        <v>0.39</v>
      </c>
      <c r="G22" s="100">
        <v>15.7</v>
      </c>
      <c r="H22" s="113"/>
      <c r="I22" s="124">
        <v>0</v>
      </c>
      <c r="J22" s="50" t="s">
        <v>523</v>
      </c>
      <c r="K22" s="124">
        <v>0</v>
      </c>
      <c r="L22" s="50" t="s">
        <v>524</v>
      </c>
      <c r="M22" s="117"/>
      <c r="N22" s="120"/>
      <c r="O22" s="99"/>
      <c r="P22" s="233">
        <f t="shared" si="0"/>
        <v>28571.428571428572</v>
      </c>
    </row>
    <row r="23" spans="1:19" ht="15.75" thickBot="1" x14ac:dyDescent="0.3">
      <c r="A23" s="32">
        <v>15</v>
      </c>
      <c r="B23" s="103">
        <v>20.399999999999999</v>
      </c>
      <c r="C23" s="100">
        <v>9.3699999999999992</v>
      </c>
      <c r="D23" s="105">
        <v>9.2200000000000006</v>
      </c>
      <c r="E23" s="58">
        <v>3100</v>
      </c>
      <c r="F23" s="58">
        <v>0.37</v>
      </c>
      <c r="G23" s="100">
        <v>16.100000000000001</v>
      </c>
      <c r="H23" s="113"/>
      <c r="I23" s="124">
        <v>0</v>
      </c>
      <c r="J23" s="50" t="s">
        <v>523</v>
      </c>
      <c r="K23" s="124">
        <v>0</v>
      </c>
      <c r="L23" s="50" t="s">
        <v>524</v>
      </c>
      <c r="M23" s="118"/>
      <c r="N23" s="121"/>
      <c r="O23" s="99"/>
      <c r="P23" s="233">
        <f t="shared" si="0"/>
        <v>42857.142857142862</v>
      </c>
    </row>
    <row r="24" spans="1:19" ht="15.75" thickBot="1" x14ac:dyDescent="0.3">
      <c r="A24" s="32">
        <v>30</v>
      </c>
      <c r="B24" s="103">
        <v>22.6</v>
      </c>
      <c r="C24" s="100">
        <v>9.3800000000000008</v>
      </c>
      <c r="D24" s="100">
        <v>9.25</v>
      </c>
      <c r="E24" s="58">
        <v>3200</v>
      </c>
      <c r="F24" s="58">
        <v>0.39</v>
      </c>
      <c r="G24" s="100">
        <v>16.8</v>
      </c>
      <c r="H24" s="113">
        <v>2770</v>
      </c>
      <c r="I24" s="124">
        <v>0</v>
      </c>
      <c r="J24" s="50" t="s">
        <v>523</v>
      </c>
      <c r="K24" s="124">
        <v>0</v>
      </c>
      <c r="L24" s="50" t="s">
        <v>524</v>
      </c>
      <c r="M24" s="118">
        <v>18</v>
      </c>
      <c r="N24" s="121">
        <v>20733</v>
      </c>
      <c r="O24" s="89"/>
      <c r="P24" s="233">
        <f t="shared" si="0"/>
        <v>85714.285714285725</v>
      </c>
    </row>
    <row r="25" spans="1:19" ht="15.75" thickBot="1" x14ac:dyDescent="0.3">
      <c r="A25" s="32" t="s">
        <v>502</v>
      </c>
      <c r="B25" s="103">
        <v>22.6</v>
      </c>
      <c r="C25" s="100">
        <v>9.3800000000000008</v>
      </c>
      <c r="D25" s="100">
        <v>9.26</v>
      </c>
      <c r="E25" s="58">
        <v>3200</v>
      </c>
      <c r="F25" s="58">
        <v>0.36</v>
      </c>
      <c r="G25" s="100">
        <v>15.8</v>
      </c>
      <c r="H25" s="113">
        <v>2330</v>
      </c>
      <c r="I25" s="124">
        <v>0</v>
      </c>
      <c r="J25" s="50" t="s">
        <v>523</v>
      </c>
      <c r="K25" s="124">
        <v>0</v>
      </c>
      <c r="L25" s="50" t="s">
        <v>524</v>
      </c>
      <c r="M25" s="118">
        <v>20</v>
      </c>
      <c r="N25" s="121">
        <v>18478</v>
      </c>
      <c r="O25" s="89">
        <v>6433</v>
      </c>
      <c r="P25" s="233"/>
    </row>
    <row r="26" spans="1:19" x14ac:dyDescent="0.25">
      <c r="A26" s="142"/>
      <c r="B26" s="143">
        <f>AVERAGE(B20:B21)</f>
        <v>20.2</v>
      </c>
      <c r="C26" s="143">
        <f>AVERAGE(C20:C21)</f>
        <v>9.35</v>
      </c>
      <c r="D26" s="144"/>
      <c r="E26" s="145"/>
      <c r="F26" s="145"/>
      <c r="G26" s="144"/>
      <c r="H26" s="146"/>
      <c r="I26" s="147"/>
      <c r="J26" s="148">
        <v>6.61</v>
      </c>
      <c r="K26" s="147"/>
      <c r="L26" s="149"/>
      <c r="M26" s="150"/>
      <c r="N26" s="150"/>
      <c r="O26" s="151"/>
    </row>
    <row r="27" spans="1:19" x14ac:dyDescent="0.25">
      <c r="A27" s="142"/>
      <c r="B27" s="143"/>
      <c r="C27" s="144"/>
      <c r="D27" s="144"/>
      <c r="E27" s="145"/>
      <c r="F27" s="145"/>
      <c r="G27" s="144"/>
      <c r="H27" s="146"/>
      <c r="I27" s="147"/>
      <c r="J27" s="148"/>
      <c r="K27" s="147"/>
      <c r="L27" s="149"/>
      <c r="M27" s="150"/>
      <c r="N27" s="150"/>
      <c r="O27" s="151"/>
    </row>
    <row r="28" spans="1:19" x14ac:dyDescent="0.25">
      <c r="A28" s="28" t="s">
        <v>140</v>
      </c>
      <c r="B28" s="28"/>
      <c r="C28" s="28"/>
      <c r="D28" s="28"/>
      <c r="E28" s="28"/>
      <c r="F28" s="28"/>
      <c r="G28" s="28"/>
      <c r="H28" s="28"/>
      <c r="I28" s="139"/>
      <c r="J28" s="115"/>
      <c r="K28" s="28"/>
      <c r="N28" s="28"/>
    </row>
    <row r="29" spans="1:19" x14ac:dyDescent="0.25">
      <c r="A29" s="28"/>
      <c r="B29" s="28" t="s">
        <v>459</v>
      </c>
      <c r="C29" s="28"/>
      <c r="D29" s="28"/>
      <c r="E29" s="28"/>
      <c r="F29" s="28"/>
      <c r="G29" s="28"/>
      <c r="H29" s="28"/>
      <c r="I29" s="139"/>
      <c r="J29" s="28"/>
      <c r="K29" s="28" t="s">
        <v>34</v>
      </c>
      <c r="L29" s="28" t="s">
        <v>34</v>
      </c>
      <c r="M29" s="28" t="s">
        <v>34</v>
      </c>
      <c r="N29" s="28" t="s">
        <v>34</v>
      </c>
    </row>
    <row r="30" spans="1:19" x14ac:dyDescent="0.25">
      <c r="A30" s="28" t="s">
        <v>272</v>
      </c>
      <c r="B30" s="28"/>
      <c r="C30" s="28"/>
      <c r="D30" s="28"/>
      <c r="E30" s="28"/>
      <c r="F30" s="28"/>
      <c r="G30" s="28"/>
      <c r="H30" s="28"/>
      <c r="I30" s="139"/>
      <c r="J30" s="28"/>
      <c r="K30" s="28" t="s">
        <v>34</v>
      </c>
      <c r="L30" s="28" t="s">
        <v>34</v>
      </c>
      <c r="M30" s="28"/>
      <c r="N30" s="28"/>
    </row>
    <row r="31" spans="1:19" x14ac:dyDescent="0.25">
      <c r="A31" s="28"/>
      <c r="F31" s="28"/>
      <c r="G31" s="28"/>
      <c r="H31" s="28"/>
      <c r="I31" s="139"/>
      <c r="J31" s="28"/>
      <c r="K31" s="28" t="s">
        <v>34</v>
      </c>
      <c r="L31" s="28" t="s">
        <v>34</v>
      </c>
      <c r="M31" s="28" t="s">
        <v>34</v>
      </c>
      <c r="N31" s="28"/>
    </row>
    <row r="32" spans="1:19" x14ac:dyDescent="0.25">
      <c r="A32" s="28"/>
      <c r="F32" s="28"/>
      <c r="G32" s="28"/>
      <c r="H32" s="28"/>
      <c r="I32" s="139"/>
      <c r="J32" s="28"/>
      <c r="K32" s="28"/>
      <c r="L32" s="28"/>
      <c r="M32" s="28"/>
      <c r="N32" s="28"/>
    </row>
    <row r="33" spans="1:16" x14ac:dyDescent="0.25">
      <c r="A33" s="19" t="s">
        <v>28</v>
      </c>
      <c r="B33" s="28"/>
      <c r="C33" s="427"/>
      <c r="D33" s="427"/>
      <c r="E33" s="427"/>
      <c r="F33" s="427"/>
      <c r="G33" s="427"/>
      <c r="H33" s="427"/>
      <c r="I33" s="427"/>
      <c r="J33" s="427"/>
      <c r="K33" s="427"/>
      <c r="L33" s="427"/>
      <c r="M33" s="427"/>
      <c r="N33" s="427"/>
      <c r="O33" s="427"/>
      <c r="P33" s="427"/>
    </row>
    <row r="34" spans="1:16" x14ac:dyDescent="0.25">
      <c r="A34" s="28"/>
      <c r="B34" t="s">
        <v>730</v>
      </c>
      <c r="C34" s="141"/>
      <c r="D34" s="141"/>
      <c r="E34" s="141"/>
      <c r="F34" s="141"/>
      <c r="G34" s="141"/>
      <c r="H34" s="141"/>
      <c r="I34" s="141"/>
      <c r="J34" s="141"/>
      <c r="K34" s="141"/>
      <c r="L34" s="141"/>
      <c r="M34" s="141"/>
      <c r="N34" s="141"/>
    </row>
    <row r="35" spans="1:16" x14ac:dyDescent="0.25">
      <c r="A35" s="28"/>
      <c r="B35" s="41"/>
      <c r="C35" s="41"/>
      <c r="D35" s="41"/>
      <c r="E35" s="41"/>
      <c r="F35" s="41"/>
      <c r="G35" s="41"/>
      <c r="H35" s="41"/>
      <c r="I35" s="41"/>
      <c r="J35" s="41"/>
      <c r="K35" s="41"/>
      <c r="L35" s="41"/>
      <c r="M35" s="28"/>
      <c r="N35" s="28"/>
    </row>
    <row r="36" spans="1:16" x14ac:dyDescent="0.25">
      <c r="A36" s="28"/>
      <c r="B36" s="41"/>
      <c r="C36" s="41"/>
      <c r="D36" s="41"/>
      <c r="E36" s="41"/>
      <c r="F36" s="41"/>
      <c r="G36" s="41"/>
      <c r="H36" s="41"/>
      <c r="I36" s="41"/>
      <c r="J36" s="41"/>
      <c r="K36" s="41"/>
      <c r="L36" s="41"/>
      <c r="M36" s="28"/>
      <c r="N36" s="28"/>
    </row>
    <row r="37" spans="1:16" x14ac:dyDescent="0.25">
      <c r="B37" s="140"/>
      <c r="C37" s="140"/>
      <c r="D37" s="140"/>
      <c r="E37" s="140"/>
      <c r="F37" s="140"/>
      <c r="G37" s="140"/>
      <c r="H37" s="140"/>
      <c r="I37" s="140"/>
      <c r="J37" s="140"/>
      <c r="K37" s="140"/>
      <c r="L37" s="140"/>
      <c r="M37" s="140"/>
      <c r="N37" s="140"/>
    </row>
    <row r="38" spans="1:16" x14ac:dyDescent="0.25">
      <c r="B38" s="41"/>
      <c r="C38" s="64"/>
      <c r="D38" s="64"/>
      <c r="E38" s="64"/>
      <c r="F38" s="64"/>
      <c r="G38" s="64"/>
      <c r="H38" s="64"/>
      <c r="I38" s="64"/>
      <c r="J38" s="64"/>
      <c r="K38" s="64"/>
      <c r="L38" s="65"/>
    </row>
    <row r="39" spans="1:16" x14ac:dyDescent="0.25">
      <c r="B39" s="22"/>
    </row>
    <row r="40" spans="1:16" x14ac:dyDescent="0.25">
      <c r="B40" s="22"/>
    </row>
    <row r="41" spans="1:16" x14ac:dyDescent="0.25">
      <c r="B41" s="22"/>
      <c r="C41" s="28"/>
      <c r="D41" s="28"/>
      <c r="E41" s="28"/>
      <c r="F41" s="28"/>
      <c r="G41" s="28"/>
      <c r="H41" s="28"/>
      <c r="I41" s="139"/>
      <c r="J41" s="28"/>
    </row>
    <row r="42" spans="1:16" x14ac:dyDescent="0.25">
      <c r="B42" s="22"/>
    </row>
    <row r="44" spans="1:16" x14ac:dyDescent="0.25">
      <c r="B44" s="41"/>
      <c r="C44" s="41"/>
      <c r="D44" s="41"/>
      <c r="E44" s="41"/>
      <c r="F44" s="41"/>
      <c r="G44" s="41"/>
      <c r="H44" s="41"/>
      <c r="I44" s="41"/>
      <c r="J44" s="41"/>
      <c r="K44" s="41"/>
    </row>
    <row r="45" spans="1:16" x14ac:dyDescent="0.25">
      <c r="B45" s="41"/>
      <c r="C45" s="41"/>
      <c r="D45" s="41"/>
      <c r="E45" s="41"/>
      <c r="F45" s="41"/>
      <c r="G45" s="41"/>
      <c r="H45" s="41"/>
      <c r="I45" s="41"/>
      <c r="J45" s="41"/>
      <c r="K45" s="41"/>
    </row>
    <row r="46" spans="1:16" x14ac:dyDescent="0.25">
      <c r="B46" s="22"/>
      <c r="C46" s="28"/>
      <c r="D46" s="28"/>
      <c r="E46" s="28"/>
      <c r="F46" s="28"/>
      <c r="G46" s="28"/>
      <c r="H46" s="139"/>
      <c r="I46" s="28"/>
      <c r="J46" s="41"/>
      <c r="K46" s="28"/>
    </row>
  </sheetData>
  <mergeCells count="1">
    <mergeCell ref="C33:P33"/>
  </mergeCells>
  <pageMargins left="0.7" right="0.7" top="0.75" bottom="0.75" header="0.3" footer="0.3"/>
  <pageSetup scale="72" orientation="landscape" verticalDpi="597" r:id="rId1"/>
  <drawing r:id="rId2"/>
  <legacyDrawing r:id="rId3"/>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3">
    <pageSetUpPr fitToPage="1"/>
  </sheetPr>
  <dimension ref="A6:S47"/>
  <sheetViews>
    <sheetView zoomScale="90" zoomScaleNormal="90" workbookViewId="0"/>
  </sheetViews>
  <sheetFormatPr defaultRowHeight="15" x14ac:dyDescent="0.25"/>
  <cols>
    <col min="1" max="1" width="7.140625" customWidth="1"/>
    <col min="2" max="2" width="11.140625" customWidth="1"/>
    <col min="3" max="3" width="6.42578125" customWidth="1"/>
    <col min="4" max="4" width="8.85546875" customWidth="1"/>
    <col min="5" max="5" width="8.140625" customWidth="1"/>
    <col min="6" max="6" width="8.85546875" customWidth="1"/>
    <col min="7" max="7" width="9.140625" style="155" customWidth="1"/>
    <col min="8" max="8" width="9.42578125" customWidth="1"/>
    <col min="10" max="10" width="7.7109375" customWidth="1"/>
    <col min="12" max="12" width="11" customWidth="1"/>
    <col min="13" max="13" width="6.7109375" style="155" customWidth="1"/>
    <col min="14" max="14" width="10.28515625" customWidth="1"/>
  </cols>
  <sheetData>
    <row r="6" spans="1:15" x14ac:dyDescent="0.25">
      <c r="A6" s="7" t="s">
        <v>12</v>
      </c>
      <c r="B6" s="28"/>
      <c r="C6" s="28"/>
      <c r="D6" s="28"/>
      <c r="E6" s="28"/>
      <c r="F6" s="28"/>
      <c r="G6" s="154"/>
      <c r="H6" s="28"/>
      <c r="I6" s="139"/>
      <c r="J6" s="28"/>
      <c r="K6" s="28"/>
      <c r="L6" s="28"/>
      <c r="M6" s="154"/>
      <c r="N6" s="28"/>
      <c r="O6" s="28"/>
    </row>
    <row r="7" spans="1:15" x14ac:dyDescent="0.25">
      <c r="A7" s="30" t="s">
        <v>13</v>
      </c>
      <c r="B7" s="128">
        <v>41415</v>
      </c>
    </row>
    <row r="8" spans="1:15" x14ac:dyDescent="0.25">
      <c r="A8" s="28" t="s">
        <v>14</v>
      </c>
      <c r="B8" s="139" t="s">
        <v>525</v>
      </c>
      <c r="C8" s="28"/>
      <c r="D8" s="28"/>
      <c r="E8" s="28"/>
      <c r="F8" s="28"/>
      <c r="G8" s="154"/>
      <c r="H8" s="28"/>
      <c r="I8" s="139"/>
      <c r="J8" s="28"/>
      <c r="K8" s="28" t="s">
        <v>34</v>
      </c>
      <c r="L8" s="28" t="s">
        <v>34</v>
      </c>
      <c r="M8" s="154"/>
      <c r="N8" s="28"/>
    </row>
    <row r="9" spans="1:15" x14ac:dyDescent="0.25">
      <c r="A9" s="28" t="s">
        <v>15</v>
      </c>
      <c r="B9" s="139">
        <v>9</v>
      </c>
      <c r="C9" s="28" t="s">
        <v>530</v>
      </c>
      <c r="D9" s="28"/>
      <c r="E9" s="28"/>
      <c r="F9" s="28"/>
      <c r="G9" s="154"/>
      <c r="H9" s="28"/>
      <c r="I9" s="139"/>
      <c r="J9" s="28"/>
      <c r="K9" s="28"/>
      <c r="L9" s="28"/>
      <c r="M9" s="154"/>
      <c r="N9" s="28"/>
    </row>
    <row r="10" spans="1:15" ht="15.75" x14ac:dyDescent="0.25">
      <c r="A10" s="28" t="s">
        <v>16</v>
      </c>
      <c r="B10">
        <v>2000</v>
      </c>
      <c r="C10" s="31" t="s">
        <v>515</v>
      </c>
      <c r="D10" s="28"/>
      <c r="E10" s="28"/>
      <c r="F10" s="28"/>
      <c r="G10" s="154"/>
      <c r="H10" s="28"/>
      <c r="I10" s="139" t="s">
        <v>34</v>
      </c>
      <c r="J10" s="28" t="s">
        <v>34</v>
      </c>
      <c r="K10" s="28" t="s">
        <v>34</v>
      </c>
      <c r="L10" s="28" t="s">
        <v>34</v>
      </c>
      <c r="M10" s="154" t="s">
        <v>34</v>
      </c>
      <c r="N10" s="28" t="s">
        <v>34</v>
      </c>
    </row>
    <row r="11" spans="1:15" x14ac:dyDescent="0.25">
      <c r="A11" s="28"/>
      <c r="B11" s="243">
        <v>1600000000</v>
      </c>
      <c r="C11" s="31" t="s">
        <v>717</v>
      </c>
      <c r="D11" s="28"/>
      <c r="E11" s="28"/>
      <c r="F11" s="28"/>
      <c r="G11" s="154"/>
      <c r="H11" s="28"/>
      <c r="I11" s="139"/>
      <c r="J11" s="28"/>
      <c r="K11" s="28" t="s">
        <v>34</v>
      </c>
      <c r="L11" s="28"/>
      <c r="M11" s="154"/>
      <c r="N11" s="28"/>
    </row>
    <row r="12" spans="1:15" x14ac:dyDescent="0.25">
      <c r="A12" s="28"/>
      <c r="B12">
        <v>95</v>
      </c>
      <c r="C12" s="31" t="s">
        <v>724</v>
      </c>
      <c r="D12" s="28"/>
      <c r="E12" s="28"/>
      <c r="F12" s="28"/>
      <c r="G12" s="154"/>
      <c r="H12" s="28"/>
      <c r="I12" s="139"/>
      <c r="J12" s="28"/>
      <c r="K12" s="28"/>
      <c r="L12" s="28"/>
      <c r="M12" s="154"/>
      <c r="N12" s="28"/>
    </row>
    <row r="13" spans="1:15" x14ac:dyDescent="0.25">
      <c r="A13" s="28"/>
      <c r="B13" s="244">
        <v>6</v>
      </c>
      <c r="C13" s="28" t="s">
        <v>697</v>
      </c>
      <c r="D13" s="28"/>
      <c r="E13" s="28"/>
      <c r="F13" s="28"/>
      <c r="G13" s="154"/>
      <c r="H13" s="28"/>
      <c r="I13" s="251"/>
      <c r="J13" s="28"/>
      <c r="K13" s="28"/>
      <c r="L13" s="28"/>
      <c r="M13" s="154"/>
      <c r="N13" s="28"/>
    </row>
    <row r="14" spans="1:15" x14ac:dyDescent="0.25">
      <c r="A14" s="28"/>
      <c r="B14" s="244">
        <v>100</v>
      </c>
      <c r="C14" s="87" t="s">
        <v>696</v>
      </c>
      <c r="D14" s="28"/>
      <c r="E14" s="28"/>
      <c r="F14" s="28"/>
      <c r="G14" s="154"/>
      <c r="H14" s="28"/>
      <c r="I14" s="251"/>
      <c r="J14" s="28"/>
      <c r="K14" s="28"/>
      <c r="L14" s="28"/>
      <c r="M14" s="154"/>
      <c r="N14" s="28"/>
    </row>
    <row r="15" spans="1:15" x14ac:dyDescent="0.25">
      <c r="A15" s="28"/>
      <c r="B15" s="244">
        <v>0</v>
      </c>
      <c r="C15" s="87" t="s">
        <v>698</v>
      </c>
      <c r="D15" s="28"/>
      <c r="E15" s="28"/>
      <c r="F15" s="28"/>
      <c r="G15" s="154"/>
      <c r="H15" s="28"/>
      <c r="I15" s="251"/>
      <c r="J15" s="28"/>
      <c r="K15" s="28"/>
      <c r="L15" s="28"/>
      <c r="M15" s="154"/>
      <c r="N15" s="28"/>
    </row>
    <row r="16" spans="1:15" x14ac:dyDescent="0.25">
      <c r="A16" s="28"/>
      <c r="B16" s="245">
        <f>(B12*B13/100*1000)/(B10+B12-B14+B15)*1000</f>
        <v>2857.1428571428573</v>
      </c>
      <c r="C16" s="28" t="s">
        <v>700</v>
      </c>
      <c r="D16" s="28"/>
      <c r="E16" s="28"/>
      <c r="F16" s="28"/>
      <c r="G16" s="154"/>
      <c r="H16" s="28"/>
      <c r="I16" s="251"/>
      <c r="J16" s="28"/>
      <c r="K16" s="28"/>
      <c r="L16" s="28"/>
      <c r="M16" s="154"/>
      <c r="N16" s="28"/>
    </row>
    <row r="17" spans="1:19" ht="15.75" thickBot="1" x14ac:dyDescent="0.3">
      <c r="A17" s="28"/>
      <c r="B17" s="28" t="s">
        <v>647</v>
      </c>
      <c r="C17" s="28"/>
      <c r="D17" s="28"/>
      <c r="E17" s="28"/>
      <c r="F17" s="28"/>
      <c r="G17" s="154"/>
      <c r="H17" s="28"/>
      <c r="I17" s="139"/>
      <c r="J17" s="28"/>
      <c r="K17" s="28"/>
      <c r="L17" s="28"/>
      <c r="M17" s="154"/>
      <c r="N17" s="28"/>
    </row>
    <row r="18" spans="1:19" ht="90" thickBot="1" x14ac:dyDescent="0.3">
      <c r="A18" s="10" t="s">
        <v>29</v>
      </c>
      <c r="B18" s="11" t="s">
        <v>17</v>
      </c>
      <c r="C18" s="11" t="s">
        <v>30</v>
      </c>
      <c r="D18" s="11" t="s">
        <v>31</v>
      </c>
      <c r="E18" s="11" t="s">
        <v>32</v>
      </c>
      <c r="F18" s="11" t="s">
        <v>33</v>
      </c>
      <c r="G18" s="161" t="s">
        <v>202</v>
      </c>
      <c r="H18" s="11" t="s">
        <v>19</v>
      </c>
      <c r="I18" s="12" t="s">
        <v>20</v>
      </c>
      <c r="J18" s="11" t="s">
        <v>21</v>
      </c>
      <c r="K18" s="13" t="s">
        <v>22</v>
      </c>
      <c r="L18" s="11" t="s">
        <v>21</v>
      </c>
      <c r="M18" s="156" t="s">
        <v>23</v>
      </c>
      <c r="N18" s="14" t="s">
        <v>24</v>
      </c>
      <c r="O18" s="14" t="s">
        <v>25</v>
      </c>
      <c r="P18" s="14" t="s">
        <v>678</v>
      </c>
      <c r="Q18" s="14" t="s">
        <v>681</v>
      </c>
      <c r="R18" s="14" t="s">
        <v>897</v>
      </c>
      <c r="S18" s="14" t="s">
        <v>729</v>
      </c>
    </row>
    <row r="19" spans="1:19" ht="15.75" thickBot="1" x14ac:dyDescent="0.3">
      <c r="A19" s="32">
        <v>0</v>
      </c>
      <c r="B19" s="91">
        <v>18.899999999999999</v>
      </c>
      <c r="C19" s="105">
        <v>7.46</v>
      </c>
      <c r="D19" s="105">
        <v>7.18</v>
      </c>
      <c r="E19" s="91">
        <v>0.21</v>
      </c>
      <c r="F19" s="91">
        <v>0.7</v>
      </c>
      <c r="G19" s="122">
        <v>254</v>
      </c>
      <c r="H19" s="122">
        <v>141</v>
      </c>
      <c r="I19" s="124">
        <v>40000000</v>
      </c>
      <c r="J19" s="125">
        <f t="shared" ref="J19:J25" si="0">LOG(I$19)-LOG(I19)</f>
        <v>0</v>
      </c>
      <c r="K19" s="124">
        <v>137000000</v>
      </c>
      <c r="L19" s="91" t="s">
        <v>26</v>
      </c>
      <c r="M19" s="119"/>
      <c r="N19" s="119"/>
      <c r="O19" s="99"/>
      <c r="P19" s="233">
        <f>B$16*A19</f>
        <v>0</v>
      </c>
      <c r="Q19" s="233">
        <f>6/LINEST($J19:$J25,$P19:$P25,FALSE)</f>
        <v>165083.35977909103</v>
      </c>
      <c r="R19" s="233">
        <f>Q19/3000</f>
        <v>55.027786593030342</v>
      </c>
      <c r="S19" s="233">
        <f>(J27/LINEST($J19:$J25,$P19:$P25,FALSE))/$B$16</f>
        <v>48.149313268901551</v>
      </c>
    </row>
    <row r="20" spans="1:19" ht="15.75" thickBot="1" x14ac:dyDescent="0.3">
      <c r="A20" s="32">
        <v>3</v>
      </c>
      <c r="B20" s="103">
        <v>19.7</v>
      </c>
      <c r="C20" s="100">
        <v>10.039999999999999</v>
      </c>
      <c r="D20" s="105">
        <v>9.69</v>
      </c>
      <c r="E20" s="58">
        <v>3300</v>
      </c>
      <c r="F20" s="58">
        <v>0.28999999999999998</v>
      </c>
      <c r="G20" s="113">
        <v>200</v>
      </c>
      <c r="H20" s="113">
        <v>46</v>
      </c>
      <c r="I20" s="124">
        <v>20100000</v>
      </c>
      <c r="J20" s="125">
        <f t="shared" si="0"/>
        <v>0.2988639339074739</v>
      </c>
      <c r="K20" s="124">
        <v>18000000</v>
      </c>
      <c r="L20" s="50">
        <f>LOG(K19)-LOG(K20)</f>
        <v>0.88144806205310111</v>
      </c>
      <c r="M20" s="120"/>
      <c r="N20" s="120"/>
      <c r="O20" s="99"/>
      <c r="P20" s="233">
        <f t="shared" ref="P20:P25" si="1">B$16*A20</f>
        <v>8571.4285714285725</v>
      </c>
      <c r="Q20" s="225"/>
    </row>
    <row r="21" spans="1:19" ht="15.75" thickBot="1" x14ac:dyDescent="0.3">
      <c r="A21" s="32">
        <v>5</v>
      </c>
      <c r="B21" s="103">
        <v>20.100000000000001</v>
      </c>
      <c r="C21" s="100">
        <v>10.039999999999999</v>
      </c>
      <c r="D21" s="153">
        <v>9.7799999999999994</v>
      </c>
      <c r="E21" s="58">
        <v>3300</v>
      </c>
      <c r="F21" s="58">
        <v>0.41</v>
      </c>
      <c r="G21" s="113">
        <v>235</v>
      </c>
      <c r="H21" s="113"/>
      <c r="I21" s="124">
        <v>1760000</v>
      </c>
      <c r="J21" s="125">
        <f t="shared" si="0"/>
        <v>1.356547323513813</v>
      </c>
      <c r="K21" s="124" t="s">
        <v>26</v>
      </c>
      <c r="L21" s="91" t="s">
        <v>26</v>
      </c>
      <c r="M21" s="120"/>
      <c r="N21" s="120"/>
      <c r="O21" s="99"/>
      <c r="P21" s="233">
        <f t="shared" si="1"/>
        <v>14285.714285714286</v>
      </c>
    </row>
    <row r="22" spans="1:19" ht="15.75" thickBot="1" x14ac:dyDescent="0.3">
      <c r="A22" s="32">
        <v>10</v>
      </c>
      <c r="B22" s="103">
        <v>20.5</v>
      </c>
      <c r="C22" s="100">
        <v>10.039999999999999</v>
      </c>
      <c r="D22" s="105">
        <v>9.51</v>
      </c>
      <c r="E22" s="58">
        <v>3300</v>
      </c>
      <c r="F22" s="58">
        <v>0.45</v>
      </c>
      <c r="G22" s="113">
        <v>227</v>
      </c>
      <c r="H22" s="113"/>
      <c r="I22" s="124">
        <v>2050000</v>
      </c>
      <c r="J22" s="125">
        <f t="shared" si="0"/>
        <v>1.2903061302722083</v>
      </c>
      <c r="K22" s="124">
        <v>1720000</v>
      </c>
      <c r="L22" s="50">
        <f>LOG(K19)-LOG(K22)</f>
        <v>1.9011921202488589</v>
      </c>
      <c r="M22" s="120"/>
      <c r="N22" s="120"/>
      <c r="O22" s="99"/>
      <c r="P22" s="233">
        <f t="shared" si="1"/>
        <v>28571.428571428572</v>
      </c>
    </row>
    <row r="23" spans="1:19" ht="15.75" thickBot="1" x14ac:dyDescent="0.3">
      <c r="A23" s="32">
        <v>15</v>
      </c>
      <c r="B23" s="103">
        <v>21.1</v>
      </c>
      <c r="C23" s="100">
        <v>10.02</v>
      </c>
      <c r="D23" s="105">
        <v>9.49</v>
      </c>
      <c r="E23" s="58">
        <v>3300</v>
      </c>
      <c r="F23" s="58">
        <v>0.53</v>
      </c>
      <c r="G23" s="113">
        <v>230</v>
      </c>
      <c r="H23" s="113"/>
      <c r="I23" s="124">
        <v>2830</v>
      </c>
      <c r="J23" s="125">
        <f t="shared" si="0"/>
        <v>4.1502735558036719</v>
      </c>
      <c r="K23" s="124">
        <v>2600</v>
      </c>
      <c r="L23" s="50">
        <f>LOG(K19)-LOG(K23)</f>
        <v>4.7217472191855894</v>
      </c>
      <c r="M23" s="121"/>
      <c r="N23" s="121"/>
      <c r="O23" s="99"/>
      <c r="P23" s="233">
        <f t="shared" si="1"/>
        <v>42857.142857142862</v>
      </c>
    </row>
    <row r="24" spans="1:19" ht="15.75" thickBot="1" x14ac:dyDescent="0.3">
      <c r="A24" s="32">
        <v>30</v>
      </c>
      <c r="B24" s="103">
        <v>22.1</v>
      </c>
      <c r="C24" s="100">
        <v>10.01</v>
      </c>
      <c r="D24" s="105">
        <v>9.81</v>
      </c>
      <c r="E24" s="58">
        <v>3300</v>
      </c>
      <c r="F24" s="58">
        <v>0.35</v>
      </c>
      <c r="G24" s="113">
        <v>256</v>
      </c>
      <c r="H24" s="113"/>
      <c r="I24" s="124">
        <v>3500</v>
      </c>
      <c r="J24" s="125">
        <f t="shared" si="0"/>
        <v>4.0579919469776868</v>
      </c>
      <c r="K24" s="124">
        <v>0</v>
      </c>
      <c r="L24" s="50" t="s">
        <v>526</v>
      </c>
      <c r="M24" s="121"/>
      <c r="N24" s="121"/>
      <c r="O24" s="89"/>
      <c r="P24" s="233">
        <f t="shared" si="1"/>
        <v>85714.285714285725</v>
      </c>
    </row>
    <row r="25" spans="1:19" ht="15.75" thickBot="1" x14ac:dyDescent="0.3">
      <c r="A25" s="32">
        <v>60</v>
      </c>
      <c r="B25" s="103">
        <v>21.8</v>
      </c>
      <c r="C25" s="100">
        <v>9.99</v>
      </c>
      <c r="D25" s="100">
        <v>9.49</v>
      </c>
      <c r="E25" s="58">
        <v>3200</v>
      </c>
      <c r="F25" s="58">
        <v>0.44</v>
      </c>
      <c r="G25" s="113">
        <v>227</v>
      </c>
      <c r="H25" s="113">
        <v>38.5</v>
      </c>
      <c r="I25" s="124">
        <v>400</v>
      </c>
      <c r="J25" s="125">
        <f t="shared" si="0"/>
        <v>5</v>
      </c>
      <c r="K25" s="124">
        <v>0</v>
      </c>
      <c r="L25" s="50" t="s">
        <v>526</v>
      </c>
      <c r="M25" s="121">
        <v>360</v>
      </c>
      <c r="N25" s="121">
        <v>6739</v>
      </c>
      <c r="O25" s="89"/>
      <c r="P25" s="233">
        <f t="shared" si="1"/>
        <v>171428.57142857145</v>
      </c>
    </row>
    <row r="26" spans="1:19" ht="15.75" thickBot="1" x14ac:dyDescent="0.3">
      <c r="A26" s="32" t="s">
        <v>516</v>
      </c>
      <c r="B26" s="103">
        <v>21.8</v>
      </c>
      <c r="C26" s="100">
        <v>9.99</v>
      </c>
      <c r="D26" s="100">
        <v>9.59</v>
      </c>
      <c r="E26" s="58">
        <v>3300</v>
      </c>
      <c r="F26" s="58">
        <v>0.28000000000000003</v>
      </c>
      <c r="G26" s="113">
        <v>277</v>
      </c>
      <c r="H26" s="113">
        <v>60.5</v>
      </c>
      <c r="I26" s="124">
        <v>0</v>
      </c>
      <c r="J26" s="50" t="s">
        <v>463</v>
      </c>
      <c r="K26" s="124">
        <v>0</v>
      </c>
      <c r="L26" s="50" t="s">
        <v>526</v>
      </c>
      <c r="M26" s="121">
        <v>408</v>
      </c>
      <c r="N26" s="121">
        <v>6671</v>
      </c>
      <c r="O26" s="89">
        <v>2680</v>
      </c>
    </row>
    <row r="27" spans="1:19" x14ac:dyDescent="0.25">
      <c r="A27" s="142"/>
      <c r="B27" s="144">
        <f>AVERAGE(B20:B25)</f>
        <v>20.883333333333333</v>
      </c>
      <c r="C27" s="144">
        <f>AVERAGE(C20:C25)</f>
        <v>10.023333333333333</v>
      </c>
      <c r="D27" s="144"/>
      <c r="E27" s="145"/>
      <c r="F27" s="145"/>
      <c r="G27" s="146"/>
      <c r="H27" s="146"/>
      <c r="I27" s="147"/>
      <c r="J27" s="148">
        <v>5</v>
      </c>
      <c r="K27" s="147"/>
      <c r="L27" s="149"/>
      <c r="M27" s="150"/>
      <c r="N27" s="150"/>
      <c r="O27" s="151"/>
    </row>
    <row r="28" spans="1:19" x14ac:dyDescent="0.25">
      <c r="A28" s="142"/>
      <c r="B28" s="143"/>
      <c r="C28" s="144"/>
      <c r="D28" s="144"/>
      <c r="E28" s="145"/>
      <c r="F28" s="145"/>
      <c r="G28" s="146"/>
      <c r="H28" s="146"/>
      <c r="I28" s="147"/>
      <c r="J28" s="148"/>
      <c r="K28" s="147"/>
      <c r="L28" s="149"/>
      <c r="M28" s="150"/>
      <c r="N28" s="150"/>
      <c r="O28" s="151"/>
    </row>
    <row r="29" spans="1:19" x14ac:dyDescent="0.25">
      <c r="A29" s="28" t="s">
        <v>140</v>
      </c>
      <c r="B29" s="28"/>
      <c r="C29" s="28"/>
      <c r="D29" s="28"/>
      <c r="E29" s="28"/>
      <c r="F29" s="28"/>
      <c r="G29" s="154"/>
      <c r="H29" s="28"/>
      <c r="I29" s="139"/>
      <c r="J29" s="115"/>
      <c r="K29" s="28"/>
      <c r="M29" s="154"/>
      <c r="N29" s="28"/>
    </row>
    <row r="30" spans="1:19" x14ac:dyDescent="0.25">
      <c r="A30" s="28"/>
      <c r="B30" s="28" t="s">
        <v>459</v>
      </c>
      <c r="C30" s="28"/>
      <c r="D30" s="28"/>
      <c r="E30" s="28"/>
      <c r="F30" s="28"/>
      <c r="G30" s="154"/>
      <c r="H30" s="28"/>
      <c r="I30" s="139"/>
      <c r="J30" s="28"/>
      <c r="K30" s="28" t="s">
        <v>34</v>
      </c>
      <c r="L30" s="28" t="s">
        <v>34</v>
      </c>
      <c r="M30" s="154" t="s">
        <v>34</v>
      </c>
      <c r="N30" s="28" t="s">
        <v>34</v>
      </c>
    </row>
    <row r="31" spans="1:19" x14ac:dyDescent="0.25">
      <c r="A31" s="28" t="s">
        <v>272</v>
      </c>
      <c r="B31" s="28"/>
      <c r="C31" s="28"/>
      <c r="D31" s="28"/>
      <c r="E31" s="28"/>
      <c r="F31" s="28"/>
      <c r="G31" s="154"/>
      <c r="H31" s="28"/>
      <c r="I31" s="139"/>
      <c r="J31" s="28"/>
      <c r="K31" s="28" t="s">
        <v>34</v>
      </c>
      <c r="L31" s="28" t="s">
        <v>34</v>
      </c>
      <c r="M31" s="154"/>
      <c r="N31" s="28"/>
    </row>
    <row r="32" spans="1:19" x14ac:dyDescent="0.25">
      <c r="A32" s="28"/>
      <c r="F32" s="28"/>
      <c r="G32" s="154"/>
      <c r="H32" s="28"/>
      <c r="I32" s="139"/>
      <c r="J32" s="28"/>
      <c r="K32" s="28" t="s">
        <v>34</v>
      </c>
      <c r="L32" s="28" t="s">
        <v>34</v>
      </c>
      <c r="M32" s="154" t="s">
        <v>34</v>
      </c>
      <c r="N32" s="28"/>
    </row>
    <row r="33" spans="1:16" x14ac:dyDescent="0.25">
      <c r="A33" s="28"/>
      <c r="F33" s="28"/>
      <c r="G33" s="154"/>
      <c r="H33" s="28"/>
      <c r="I33" s="139"/>
      <c r="J33" s="28"/>
      <c r="K33" s="28"/>
      <c r="L33" s="28"/>
      <c r="M33" s="154"/>
      <c r="N33" s="28"/>
    </row>
    <row r="34" spans="1:16" x14ac:dyDescent="0.25">
      <c r="A34" s="19" t="s">
        <v>28</v>
      </c>
      <c r="B34" s="28"/>
      <c r="C34" s="75" t="s">
        <v>569</v>
      </c>
      <c r="D34" s="75"/>
      <c r="E34" s="75"/>
      <c r="F34" s="75"/>
      <c r="G34" s="157"/>
      <c r="H34" s="75"/>
      <c r="I34" s="75"/>
      <c r="J34" s="75"/>
      <c r="K34" s="75"/>
      <c r="L34" s="75"/>
      <c r="M34" s="75"/>
      <c r="N34" s="75"/>
      <c r="O34" s="75"/>
      <c r="P34" s="75"/>
    </row>
    <row r="35" spans="1:16" x14ac:dyDescent="0.25">
      <c r="A35" s="28"/>
      <c r="B35" s="22"/>
      <c r="C35" s="152" t="s">
        <v>570</v>
      </c>
      <c r="D35" s="141"/>
      <c r="E35" s="141"/>
      <c r="F35" s="141"/>
      <c r="G35" s="158"/>
      <c r="H35" s="141"/>
      <c r="I35" s="141"/>
      <c r="J35" s="141"/>
      <c r="K35" s="141"/>
      <c r="L35" s="141"/>
      <c r="M35" s="158"/>
      <c r="N35" s="141"/>
    </row>
    <row r="36" spans="1:16" x14ac:dyDescent="0.25">
      <c r="A36" s="28"/>
      <c r="B36" s="41"/>
      <c r="C36" s="189" t="s">
        <v>571</v>
      </c>
      <c r="D36" s="41"/>
      <c r="E36" s="41"/>
      <c r="F36" s="41"/>
      <c r="G36" s="162"/>
      <c r="H36" s="41"/>
      <c r="I36" s="41"/>
      <c r="J36" s="41"/>
      <c r="K36" s="41"/>
      <c r="L36" s="41"/>
      <c r="M36" s="154"/>
      <c r="N36" s="28"/>
    </row>
    <row r="37" spans="1:16" x14ac:dyDescent="0.25">
      <c r="A37" s="28"/>
      <c r="B37" s="41"/>
      <c r="C37" s="189" t="s">
        <v>568</v>
      </c>
      <c r="D37" s="41"/>
      <c r="E37" s="41"/>
      <c r="F37" s="41"/>
      <c r="G37" s="162"/>
      <c r="H37" s="41"/>
      <c r="I37" s="41"/>
      <c r="J37" s="41"/>
      <c r="K37" s="41"/>
      <c r="L37" s="41"/>
      <c r="M37" s="154"/>
      <c r="N37" s="28"/>
    </row>
    <row r="38" spans="1:16" x14ac:dyDescent="0.25">
      <c r="B38" s="140"/>
      <c r="C38" s="165" t="s">
        <v>537</v>
      </c>
      <c r="D38" s="140"/>
      <c r="E38" s="140"/>
      <c r="F38" s="140"/>
      <c r="G38" s="159"/>
      <c r="H38" s="140"/>
      <c r="I38" s="140"/>
      <c r="J38" s="140"/>
      <c r="K38" s="140"/>
      <c r="L38" s="140"/>
      <c r="M38" s="159"/>
      <c r="N38" s="140"/>
    </row>
    <row r="39" spans="1:16" x14ac:dyDescent="0.25">
      <c r="B39" s="41"/>
      <c r="C39" s="64"/>
      <c r="D39" s="64"/>
      <c r="E39" s="64"/>
      <c r="F39" s="64"/>
      <c r="G39" s="163"/>
      <c r="H39" s="64"/>
      <c r="I39" s="64"/>
      <c r="J39" s="64"/>
      <c r="K39" s="64"/>
      <c r="L39" s="65"/>
    </row>
    <row r="40" spans="1:16" x14ac:dyDescent="0.25">
      <c r="B40" s="22"/>
    </row>
    <row r="41" spans="1:16" x14ac:dyDescent="0.25">
      <c r="B41" s="22"/>
    </row>
    <row r="42" spans="1:16" x14ac:dyDescent="0.25">
      <c r="B42" s="22"/>
      <c r="C42" s="28"/>
      <c r="D42" s="28"/>
      <c r="E42" s="28"/>
      <c r="F42" s="28"/>
      <c r="G42" s="154"/>
      <c r="H42" s="28"/>
      <c r="I42" s="139"/>
      <c r="J42" s="28"/>
    </row>
    <row r="43" spans="1:16" x14ac:dyDescent="0.25">
      <c r="B43" s="22"/>
    </row>
    <row r="45" spans="1:16" x14ac:dyDescent="0.25">
      <c r="B45" s="41"/>
      <c r="C45" s="41"/>
      <c r="D45" s="41"/>
      <c r="E45" s="41"/>
      <c r="F45" s="41"/>
      <c r="G45" s="162"/>
      <c r="H45" s="41"/>
      <c r="I45" s="41"/>
      <c r="J45" s="41"/>
      <c r="K45" s="41"/>
    </row>
    <row r="46" spans="1:16" x14ac:dyDescent="0.25">
      <c r="B46" s="41"/>
      <c r="C46" s="41"/>
      <c r="D46" s="41"/>
      <c r="E46" s="41"/>
      <c r="F46" s="41"/>
      <c r="G46" s="162"/>
      <c r="H46" s="41"/>
      <c r="I46" s="41"/>
      <c r="J46" s="41"/>
      <c r="K46" s="41"/>
    </row>
    <row r="47" spans="1:16" x14ac:dyDescent="0.25">
      <c r="B47" s="22"/>
      <c r="C47" s="28"/>
      <c r="D47" s="28"/>
      <c r="E47" s="28"/>
      <c r="F47" s="28"/>
      <c r="G47" s="154"/>
      <c r="H47" s="139"/>
      <c r="I47" s="28"/>
      <c r="J47" s="41"/>
      <c r="K47" s="28"/>
    </row>
  </sheetData>
  <pageMargins left="0.7" right="0.7" top="0.75" bottom="0.75" header="0.3" footer="0.3"/>
  <pageSetup scale="72" orientation="landscape" verticalDpi="597" r:id="rId1"/>
  <drawing r:id="rId2"/>
  <legacyDrawing r:id="rId3"/>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4">
    <pageSetUpPr fitToPage="1"/>
  </sheetPr>
  <dimension ref="A6:S46"/>
  <sheetViews>
    <sheetView zoomScale="90" zoomScaleNormal="90" workbookViewId="0"/>
  </sheetViews>
  <sheetFormatPr defaultRowHeight="15" x14ac:dyDescent="0.25"/>
  <cols>
    <col min="1" max="1" width="7.140625" customWidth="1"/>
    <col min="2" max="2" width="11.140625" customWidth="1"/>
    <col min="3" max="3" width="6.42578125" customWidth="1"/>
    <col min="4" max="4" width="8.85546875" customWidth="1"/>
    <col min="5" max="5" width="8.140625" customWidth="1"/>
    <col min="6" max="6" width="8.85546875" customWidth="1"/>
    <col min="7" max="7" width="9.140625" style="155" customWidth="1"/>
    <col min="8" max="8" width="9.42578125" customWidth="1"/>
    <col min="10" max="10" width="7.7109375" customWidth="1"/>
    <col min="12" max="12" width="11" customWidth="1"/>
    <col min="13" max="13" width="6.7109375" style="155" customWidth="1"/>
    <col min="14" max="14" width="10.28515625" customWidth="1"/>
  </cols>
  <sheetData>
    <row r="6" spans="1:15" x14ac:dyDescent="0.25">
      <c r="A6" s="7" t="s">
        <v>12</v>
      </c>
      <c r="B6" s="28"/>
      <c r="C6" s="28"/>
      <c r="D6" s="28"/>
      <c r="E6" s="28"/>
      <c r="F6" s="28"/>
      <c r="G6" s="154"/>
      <c r="H6" s="28"/>
      <c r="I6" s="183"/>
      <c r="J6" s="28"/>
      <c r="K6" s="28"/>
      <c r="L6" s="28"/>
      <c r="M6" s="154"/>
      <c r="N6" s="28"/>
      <c r="O6" s="28"/>
    </row>
    <row r="7" spans="1:15" x14ac:dyDescent="0.25">
      <c r="A7" s="30" t="s">
        <v>13</v>
      </c>
      <c r="B7" s="128">
        <v>41444</v>
      </c>
    </row>
    <row r="8" spans="1:15" x14ac:dyDescent="0.25">
      <c r="A8" s="28" t="s">
        <v>14</v>
      </c>
      <c r="B8" s="183" t="s">
        <v>564</v>
      </c>
      <c r="C8" s="28"/>
      <c r="D8" s="28"/>
      <c r="E8" s="28"/>
      <c r="F8" s="28"/>
      <c r="G8" s="154"/>
      <c r="H8" s="28"/>
      <c r="I8" s="183"/>
      <c r="J8" s="28"/>
      <c r="K8" s="28" t="s">
        <v>34</v>
      </c>
      <c r="L8" s="28" t="s">
        <v>34</v>
      </c>
      <c r="M8" s="154"/>
      <c r="N8" s="28"/>
    </row>
    <row r="9" spans="1:15" x14ac:dyDescent="0.25">
      <c r="A9" s="28" t="s">
        <v>15</v>
      </c>
      <c r="B9" s="183">
        <v>9</v>
      </c>
      <c r="C9" s="28" t="s">
        <v>530</v>
      </c>
      <c r="D9" s="28"/>
      <c r="E9" s="28"/>
      <c r="F9" s="28"/>
      <c r="G9" s="154"/>
      <c r="H9" s="28"/>
      <c r="I9" s="183"/>
      <c r="J9" s="28"/>
      <c r="K9" s="28"/>
      <c r="L9" s="28"/>
      <c r="M9" s="154"/>
      <c r="N9" s="28"/>
    </row>
    <row r="10" spans="1:15" ht="15.75" x14ac:dyDescent="0.25">
      <c r="A10" s="28" t="s">
        <v>16</v>
      </c>
      <c r="B10">
        <v>2000</v>
      </c>
      <c r="C10" s="31" t="s">
        <v>726</v>
      </c>
      <c r="D10" s="28"/>
      <c r="E10" s="28"/>
      <c r="F10" s="28"/>
      <c r="G10" s="154"/>
      <c r="H10" s="28"/>
      <c r="I10" s="183" t="s">
        <v>34</v>
      </c>
      <c r="J10" s="28" t="s">
        <v>34</v>
      </c>
      <c r="K10" s="28" t="s">
        <v>34</v>
      </c>
      <c r="L10" s="28" t="s">
        <v>34</v>
      </c>
      <c r="M10" s="154" t="s">
        <v>34</v>
      </c>
      <c r="N10" s="28" t="s">
        <v>34</v>
      </c>
    </row>
    <row r="11" spans="1:15" x14ac:dyDescent="0.25">
      <c r="A11" s="28"/>
      <c r="B11" s="243">
        <v>1600000000</v>
      </c>
      <c r="C11" s="31" t="s">
        <v>717</v>
      </c>
      <c r="D11" s="28"/>
      <c r="E11" s="28"/>
      <c r="F11" s="28"/>
      <c r="G11" s="154"/>
      <c r="H11" s="28"/>
      <c r="I11" s="183"/>
      <c r="J11" s="28"/>
      <c r="K11" s="28" t="s">
        <v>34</v>
      </c>
      <c r="L11" s="28"/>
      <c r="M11" s="154"/>
      <c r="N11" s="28"/>
    </row>
    <row r="12" spans="1:15" x14ac:dyDescent="0.25">
      <c r="A12" s="28"/>
      <c r="B12">
        <v>95</v>
      </c>
      <c r="C12" s="31" t="s">
        <v>701</v>
      </c>
      <c r="D12" s="28"/>
      <c r="E12" s="28"/>
      <c r="F12" s="28"/>
      <c r="G12" s="154"/>
      <c r="H12" s="28"/>
      <c r="I12" s="183"/>
      <c r="J12" s="28"/>
      <c r="K12" s="28"/>
      <c r="L12" s="28"/>
      <c r="M12" s="154"/>
      <c r="N12" s="28"/>
    </row>
    <row r="13" spans="1:15" x14ac:dyDescent="0.25">
      <c r="A13" s="28"/>
      <c r="B13" s="244">
        <v>6</v>
      </c>
      <c r="C13" s="28" t="s">
        <v>697</v>
      </c>
      <c r="D13" s="28"/>
      <c r="E13" s="28"/>
      <c r="F13" s="28"/>
      <c r="G13" s="154"/>
      <c r="H13" s="28"/>
      <c r="I13" s="251"/>
      <c r="J13" s="28"/>
      <c r="K13" s="28"/>
      <c r="L13" s="28"/>
      <c r="M13" s="154"/>
      <c r="N13" s="28"/>
    </row>
    <row r="14" spans="1:15" x14ac:dyDescent="0.25">
      <c r="A14" s="28"/>
      <c r="B14" s="244">
        <v>100</v>
      </c>
      <c r="C14" s="87" t="s">
        <v>696</v>
      </c>
      <c r="D14" s="28"/>
      <c r="E14" s="28"/>
      <c r="F14" s="28"/>
      <c r="G14" s="154"/>
      <c r="H14" s="28"/>
      <c r="I14" s="251"/>
      <c r="J14" s="28"/>
      <c r="K14" s="28"/>
      <c r="L14" s="28"/>
      <c r="M14" s="154"/>
      <c r="N14" s="28"/>
    </row>
    <row r="15" spans="1:15" x14ac:dyDescent="0.25">
      <c r="A15" s="28"/>
      <c r="B15" s="244">
        <v>0</v>
      </c>
      <c r="C15" s="87" t="s">
        <v>698</v>
      </c>
      <c r="D15" s="28"/>
      <c r="E15" s="28"/>
      <c r="F15" s="28"/>
      <c r="G15" s="154"/>
      <c r="H15" s="28"/>
      <c r="I15" s="251"/>
      <c r="J15" s="28"/>
      <c r="K15" s="28"/>
      <c r="L15" s="28"/>
      <c r="M15" s="154"/>
      <c r="N15" s="28"/>
    </row>
    <row r="16" spans="1:15" x14ac:dyDescent="0.25">
      <c r="A16" s="28"/>
      <c r="B16" s="245">
        <f>(B12*B13/100*1000)/(B10+B12-B14+B15)*1000</f>
        <v>2857.1428571428573</v>
      </c>
      <c r="C16" s="28" t="s">
        <v>700</v>
      </c>
      <c r="D16" s="28"/>
      <c r="E16" s="28"/>
      <c r="F16" s="28"/>
      <c r="G16" s="154"/>
      <c r="H16" s="28"/>
      <c r="I16" s="251"/>
      <c r="J16" s="28"/>
      <c r="K16" s="28"/>
      <c r="L16" s="28"/>
      <c r="M16" s="154"/>
      <c r="N16" s="28"/>
    </row>
    <row r="17" spans="1:19" ht="15.75" thickBot="1" x14ac:dyDescent="0.3">
      <c r="A17" s="28"/>
      <c r="B17" s="28" t="s">
        <v>647</v>
      </c>
      <c r="C17" s="28"/>
      <c r="D17" s="28"/>
      <c r="E17" s="28"/>
      <c r="F17" s="28"/>
      <c r="G17" s="154"/>
      <c r="H17" s="28"/>
      <c r="I17" s="183"/>
      <c r="J17" s="28"/>
      <c r="K17" s="28"/>
      <c r="L17" s="28"/>
      <c r="M17" s="154"/>
      <c r="N17" s="28"/>
    </row>
    <row r="18" spans="1:19" ht="90" thickBot="1" x14ac:dyDescent="0.3">
      <c r="A18" s="10" t="s">
        <v>29</v>
      </c>
      <c r="B18" s="11" t="s">
        <v>17</v>
      </c>
      <c r="C18" s="11" t="s">
        <v>30</v>
      </c>
      <c r="D18" s="11" t="s">
        <v>31</v>
      </c>
      <c r="E18" s="11" t="s">
        <v>32</v>
      </c>
      <c r="F18" s="11" t="s">
        <v>33</v>
      </c>
      <c r="G18" s="161" t="s">
        <v>202</v>
      </c>
      <c r="H18" s="11" t="s">
        <v>19</v>
      </c>
      <c r="I18" s="12" t="s">
        <v>20</v>
      </c>
      <c r="J18" s="11" t="s">
        <v>21</v>
      </c>
      <c r="K18" s="13" t="s">
        <v>22</v>
      </c>
      <c r="L18" s="11" t="s">
        <v>21</v>
      </c>
      <c r="M18" s="156" t="s">
        <v>23</v>
      </c>
      <c r="N18" s="14" t="s">
        <v>24</v>
      </c>
      <c r="O18" s="14" t="s">
        <v>25</v>
      </c>
      <c r="P18" s="14" t="s">
        <v>678</v>
      </c>
      <c r="Q18" s="14" t="s">
        <v>681</v>
      </c>
      <c r="R18" s="14" t="s">
        <v>897</v>
      </c>
      <c r="S18" s="14" t="s">
        <v>729</v>
      </c>
    </row>
    <row r="19" spans="1:19" ht="15.75" thickBot="1" x14ac:dyDescent="0.3">
      <c r="A19" s="32">
        <v>0</v>
      </c>
      <c r="B19" s="91">
        <v>18.399999999999999</v>
      </c>
      <c r="C19" s="105">
        <v>7.76</v>
      </c>
      <c r="D19" s="105">
        <v>8.65</v>
      </c>
      <c r="E19" s="91">
        <v>0.57999999999999996</v>
      </c>
      <c r="F19" s="91">
        <v>0.23</v>
      </c>
      <c r="G19" s="122">
        <v>203</v>
      </c>
      <c r="H19" s="122">
        <v>146</v>
      </c>
      <c r="I19" s="124">
        <v>44000000</v>
      </c>
      <c r="J19" s="125">
        <f t="shared" ref="J19:J26" si="0">LOG(I$19)-LOG(I19)</f>
        <v>0</v>
      </c>
      <c r="K19" s="124">
        <v>62000000</v>
      </c>
      <c r="L19" s="91" t="s">
        <v>26</v>
      </c>
      <c r="M19" s="119"/>
      <c r="N19" s="119"/>
      <c r="O19" s="99"/>
      <c r="P19" s="233">
        <f>B$16*A19</f>
        <v>0</v>
      </c>
      <c r="Q19" s="233">
        <f>6/LINEST($J19:$J25,$P19:$P25,FALSE)</f>
        <v>150807.81059265285</v>
      </c>
      <c r="R19" s="249">
        <f>Q19/3000</f>
        <v>50.269270197550952</v>
      </c>
      <c r="S19" s="249">
        <f>(J27/LINEST($J19:$J25,$P19:$P25,FALSE))/$B$16</f>
        <v>50.495481913439932</v>
      </c>
    </row>
    <row r="20" spans="1:19" ht="15.75" thickBot="1" x14ac:dyDescent="0.3">
      <c r="A20" s="32">
        <v>3</v>
      </c>
      <c r="B20" s="103">
        <v>18.399999999999999</v>
      </c>
      <c r="C20" s="100">
        <v>9.92</v>
      </c>
      <c r="D20" s="105">
        <v>11.14</v>
      </c>
      <c r="E20" s="58">
        <v>3100</v>
      </c>
      <c r="F20" s="58">
        <v>0.38</v>
      </c>
      <c r="G20" s="113">
        <v>205</v>
      </c>
      <c r="H20" s="113">
        <v>97</v>
      </c>
      <c r="I20" s="124">
        <v>23000000</v>
      </c>
      <c r="J20" s="125">
        <f t="shared" si="0"/>
        <v>0.28172484046859481</v>
      </c>
      <c r="K20" s="124">
        <v>24000000</v>
      </c>
      <c r="L20" s="50">
        <f>LOG(K19)-LOG(K20)</f>
        <v>0.41218044778664709</v>
      </c>
      <c r="M20" s="120"/>
      <c r="N20" s="120"/>
      <c r="O20" s="99"/>
      <c r="P20" s="233">
        <f t="shared" ref="P20:P25" si="1">B$16*A20</f>
        <v>8571.4285714285725</v>
      </c>
      <c r="Q20" s="225"/>
    </row>
    <row r="21" spans="1:19" ht="15.75" thickBot="1" x14ac:dyDescent="0.3">
      <c r="A21" s="32">
        <v>5</v>
      </c>
      <c r="B21" s="103">
        <v>18.5</v>
      </c>
      <c r="C21" s="100">
        <v>9.92</v>
      </c>
      <c r="D21" s="153">
        <v>10.96</v>
      </c>
      <c r="E21" s="58">
        <v>3200</v>
      </c>
      <c r="F21" s="58">
        <v>0.39</v>
      </c>
      <c r="G21" s="113">
        <v>200</v>
      </c>
      <c r="H21" s="113"/>
      <c r="I21" s="124">
        <v>19700000</v>
      </c>
      <c r="J21" s="125">
        <f t="shared" si="0"/>
        <v>0.34898645032459452</v>
      </c>
      <c r="K21" s="124">
        <v>19700000</v>
      </c>
      <c r="L21" s="50">
        <f>LOG(K19)-LOG(K21)</f>
        <v>0.4979254633366601</v>
      </c>
      <c r="M21" s="120"/>
      <c r="N21" s="120"/>
      <c r="O21" s="99"/>
      <c r="P21" s="233">
        <f t="shared" si="1"/>
        <v>14285.714285714286</v>
      </c>
    </row>
    <row r="22" spans="1:19" ht="15.75" thickBot="1" x14ac:dyDescent="0.3">
      <c r="A22" s="32">
        <v>10</v>
      </c>
      <c r="B22" s="103">
        <v>19</v>
      </c>
      <c r="C22" s="100">
        <v>9.94</v>
      </c>
      <c r="D22" s="105">
        <v>11.24</v>
      </c>
      <c r="E22" s="58">
        <v>3200</v>
      </c>
      <c r="F22" s="58">
        <v>0.44</v>
      </c>
      <c r="G22" s="113">
        <v>199</v>
      </c>
      <c r="H22" s="113"/>
      <c r="I22" s="124">
        <v>240000</v>
      </c>
      <c r="J22" s="125">
        <f t="shared" si="0"/>
        <v>2.2632414347745815</v>
      </c>
      <c r="K22" s="124">
        <v>455000</v>
      </c>
      <c r="L22" s="50">
        <f>LOG(K19)-LOG(K22)</f>
        <v>2.1343802928411408</v>
      </c>
      <c r="M22" s="120"/>
      <c r="N22" s="120"/>
      <c r="O22" s="99"/>
      <c r="P22" s="233">
        <f t="shared" si="1"/>
        <v>28571.428571428572</v>
      </c>
    </row>
    <row r="23" spans="1:19" ht="15.75" thickBot="1" x14ac:dyDescent="0.3">
      <c r="A23" s="32">
        <v>15</v>
      </c>
      <c r="B23" s="103">
        <v>19.5</v>
      </c>
      <c r="C23" s="100">
        <v>9.9600000000000009</v>
      </c>
      <c r="D23" s="105">
        <v>11.06</v>
      </c>
      <c r="E23" s="58">
        <v>3200</v>
      </c>
      <c r="F23" s="58">
        <v>0.42</v>
      </c>
      <c r="G23" s="113">
        <v>214</v>
      </c>
      <c r="H23" s="113"/>
      <c r="I23" s="124">
        <v>22000</v>
      </c>
      <c r="J23" s="125">
        <f t="shared" si="0"/>
        <v>3.3010299956639813</v>
      </c>
      <c r="K23" s="124">
        <v>1150</v>
      </c>
      <c r="L23" s="50">
        <f>LOG(K19)-LOG(K23)</f>
        <v>4.7316938491446416</v>
      </c>
      <c r="M23" s="121"/>
      <c r="N23" s="121"/>
      <c r="O23" s="99"/>
      <c r="P23" s="233">
        <f t="shared" si="1"/>
        <v>42857.142857142862</v>
      </c>
    </row>
    <row r="24" spans="1:19" ht="15.75" thickBot="1" x14ac:dyDescent="0.3">
      <c r="A24" s="32">
        <v>30</v>
      </c>
      <c r="B24" s="103">
        <v>20.5</v>
      </c>
      <c r="C24" s="100">
        <v>9.93</v>
      </c>
      <c r="D24" s="105">
        <v>11.25</v>
      </c>
      <c r="E24" s="58">
        <v>3100</v>
      </c>
      <c r="F24" s="58">
        <v>0.51</v>
      </c>
      <c r="G24" s="113">
        <v>215</v>
      </c>
      <c r="H24" s="113"/>
      <c r="I24" s="124">
        <v>1600</v>
      </c>
      <c r="J24" s="125">
        <f t="shared" si="0"/>
        <v>4.4393326938302629</v>
      </c>
      <c r="K24" s="124">
        <v>100</v>
      </c>
      <c r="L24" s="50">
        <f>LOG(K19)-LOG(K24)</f>
        <v>5.7923916894982534</v>
      </c>
      <c r="M24" s="121"/>
      <c r="N24" s="121"/>
      <c r="O24" s="89"/>
      <c r="P24" s="233">
        <f t="shared" si="1"/>
        <v>85714.285714285725</v>
      </c>
    </row>
    <row r="25" spans="1:19" ht="15.75" thickBot="1" x14ac:dyDescent="0.3">
      <c r="A25" s="190">
        <v>60</v>
      </c>
      <c r="B25" s="103">
        <v>20.100000000000001</v>
      </c>
      <c r="C25" s="100">
        <v>9.9</v>
      </c>
      <c r="D25" s="100">
        <v>11.42</v>
      </c>
      <c r="E25" s="58">
        <v>3100</v>
      </c>
      <c r="F25" s="58">
        <v>0.36</v>
      </c>
      <c r="G25" s="113">
        <v>225</v>
      </c>
      <c r="H25" s="113">
        <v>33</v>
      </c>
      <c r="I25" s="124">
        <v>80</v>
      </c>
      <c r="J25" s="50">
        <f t="shared" si="0"/>
        <v>5.7403626894942441</v>
      </c>
      <c r="K25" s="124">
        <v>0</v>
      </c>
      <c r="L25" s="50" t="s">
        <v>533</v>
      </c>
      <c r="M25" s="121">
        <v>552</v>
      </c>
      <c r="N25" s="121">
        <v>6199</v>
      </c>
      <c r="O25" s="89"/>
      <c r="P25" s="233">
        <f t="shared" si="1"/>
        <v>171428.57142857145</v>
      </c>
    </row>
    <row r="26" spans="1:19" ht="15.75" thickBot="1" x14ac:dyDescent="0.3">
      <c r="A26" s="32" t="s">
        <v>516</v>
      </c>
      <c r="B26" s="103">
        <v>20.100000000000001</v>
      </c>
      <c r="C26" s="100">
        <v>9.9</v>
      </c>
      <c r="D26" s="100">
        <v>11.44</v>
      </c>
      <c r="E26" s="58">
        <v>3100</v>
      </c>
      <c r="F26" s="58">
        <v>0.28000000000000003</v>
      </c>
      <c r="G26" s="113">
        <v>218</v>
      </c>
      <c r="H26" s="113">
        <v>39</v>
      </c>
      <c r="I26" s="124">
        <v>183</v>
      </c>
      <c r="J26" s="125">
        <f t="shared" si="0"/>
        <v>5.3810015867557581</v>
      </c>
      <c r="K26" s="124">
        <v>1000</v>
      </c>
      <c r="L26" s="50">
        <f>LOG(K19)-LOG(K26)</f>
        <v>4.7923916894982534</v>
      </c>
      <c r="M26" s="121">
        <v>635</v>
      </c>
      <c r="N26" s="121">
        <v>6175</v>
      </c>
      <c r="O26" s="89">
        <v>2280</v>
      </c>
    </row>
    <row r="27" spans="1:19" x14ac:dyDescent="0.25">
      <c r="A27" s="142"/>
      <c r="B27" s="144">
        <f>AVERAGE(B20:B24)</f>
        <v>19.18</v>
      </c>
      <c r="C27" s="144">
        <f>AVERAGE(C20:C24)</f>
        <v>9.9340000000000011</v>
      </c>
      <c r="D27" s="144"/>
      <c r="E27" s="145"/>
      <c r="F27" s="145"/>
      <c r="G27" s="146"/>
      <c r="H27" s="146"/>
      <c r="I27" s="147"/>
      <c r="J27" s="148">
        <v>5.74</v>
      </c>
      <c r="K27" s="147"/>
      <c r="L27" s="149"/>
      <c r="M27" s="150"/>
      <c r="N27" s="150"/>
      <c r="O27" s="151"/>
    </row>
    <row r="28" spans="1:19" x14ac:dyDescent="0.25">
      <c r="A28" s="142"/>
      <c r="B28" s="143"/>
      <c r="C28" s="144"/>
      <c r="D28" s="144"/>
      <c r="E28" s="145"/>
      <c r="F28" s="145"/>
      <c r="G28" s="146"/>
      <c r="H28" s="146"/>
      <c r="I28" s="147"/>
      <c r="J28" s="148"/>
      <c r="K28" s="147"/>
      <c r="L28" s="149"/>
      <c r="M28" s="150"/>
      <c r="N28" s="150"/>
      <c r="O28" s="151"/>
    </row>
    <row r="29" spans="1:19" x14ac:dyDescent="0.25">
      <c r="A29" s="28" t="s">
        <v>140</v>
      </c>
      <c r="B29" s="28"/>
      <c r="C29" s="28"/>
      <c r="D29" s="28"/>
      <c r="E29" s="28"/>
      <c r="F29" s="28"/>
      <c r="G29" s="154"/>
      <c r="H29" s="28"/>
      <c r="I29" s="183"/>
      <c r="J29" s="115"/>
      <c r="K29" s="28"/>
      <c r="M29" s="154"/>
      <c r="N29" s="28"/>
    </row>
    <row r="30" spans="1:19" x14ac:dyDescent="0.25">
      <c r="A30" s="28"/>
      <c r="B30" s="28" t="s">
        <v>459</v>
      </c>
      <c r="C30" s="28"/>
      <c r="D30" s="28"/>
      <c r="E30" s="28"/>
      <c r="F30" s="28"/>
      <c r="G30" s="154"/>
      <c r="H30" s="28"/>
      <c r="I30" s="183"/>
      <c r="J30" s="28"/>
      <c r="K30" s="28" t="s">
        <v>34</v>
      </c>
      <c r="L30" s="28" t="s">
        <v>34</v>
      </c>
      <c r="M30" s="154" t="s">
        <v>34</v>
      </c>
      <c r="N30" s="28" t="s">
        <v>34</v>
      </c>
    </row>
    <row r="31" spans="1:19" x14ac:dyDescent="0.25">
      <c r="A31" s="28" t="s">
        <v>272</v>
      </c>
      <c r="B31" s="28"/>
      <c r="C31" s="28"/>
      <c r="D31" s="28"/>
      <c r="E31" s="28"/>
      <c r="F31" s="28"/>
      <c r="G31" s="154"/>
      <c r="H31" s="28"/>
      <c r="I31" s="183"/>
      <c r="J31" s="28"/>
      <c r="K31" s="28" t="s">
        <v>34</v>
      </c>
      <c r="L31" s="28" t="s">
        <v>34</v>
      </c>
      <c r="M31" s="154"/>
      <c r="N31" s="28"/>
    </row>
    <row r="32" spans="1:19" x14ac:dyDescent="0.25">
      <c r="A32" s="28"/>
      <c r="F32" s="28"/>
      <c r="G32" s="154"/>
      <c r="H32" s="28"/>
      <c r="I32" s="183"/>
      <c r="J32" s="28"/>
      <c r="K32" s="28" t="s">
        <v>34</v>
      </c>
      <c r="L32" s="28" t="s">
        <v>34</v>
      </c>
      <c r="M32" s="154" t="s">
        <v>34</v>
      </c>
      <c r="N32" s="28"/>
    </row>
    <row r="33" spans="1:16" x14ac:dyDescent="0.25">
      <c r="A33" s="28"/>
      <c r="F33" s="28"/>
      <c r="G33" s="154"/>
      <c r="H33" s="28"/>
      <c r="I33" s="183"/>
      <c r="J33" s="28"/>
      <c r="K33" s="28"/>
      <c r="L33" s="28"/>
      <c r="M33" s="154"/>
      <c r="N33" s="28"/>
    </row>
    <row r="34" spans="1:16" x14ac:dyDescent="0.25">
      <c r="A34" s="19" t="s">
        <v>28</v>
      </c>
      <c r="B34" s="28"/>
      <c r="C34" s="164" t="s">
        <v>565</v>
      </c>
      <c r="D34" s="75"/>
      <c r="E34" s="75"/>
      <c r="F34" s="75"/>
      <c r="G34" s="157"/>
      <c r="H34" s="75"/>
      <c r="I34" s="75"/>
      <c r="J34" s="75"/>
      <c r="K34" s="75"/>
      <c r="L34" s="75"/>
      <c r="M34" s="75"/>
      <c r="N34" s="75"/>
      <c r="O34" s="75"/>
      <c r="P34" s="75"/>
    </row>
    <row r="35" spans="1:16" x14ac:dyDescent="0.25">
      <c r="A35" s="28"/>
      <c r="B35" s="41"/>
      <c r="C35" s="188" t="s">
        <v>566</v>
      </c>
      <c r="D35" s="41"/>
      <c r="E35" s="41"/>
      <c r="F35" s="41"/>
      <c r="G35" s="162"/>
      <c r="H35" s="41"/>
      <c r="I35" s="41"/>
      <c r="J35" s="41"/>
      <c r="K35" s="41"/>
      <c r="L35" s="41"/>
      <c r="M35" s="154"/>
      <c r="N35" s="28"/>
    </row>
    <row r="36" spans="1:16" x14ac:dyDescent="0.25">
      <c r="A36" s="28"/>
      <c r="B36" s="41"/>
      <c r="C36" s="189" t="s">
        <v>567</v>
      </c>
      <c r="D36" s="41"/>
      <c r="E36" s="41"/>
      <c r="F36" s="41"/>
      <c r="G36" s="162"/>
      <c r="H36" s="41"/>
      <c r="I36" s="41"/>
      <c r="J36" s="41"/>
      <c r="K36" s="41"/>
      <c r="L36" s="41"/>
      <c r="M36" s="154"/>
      <c r="N36" s="28"/>
    </row>
    <row r="37" spans="1:16" x14ac:dyDescent="0.25">
      <c r="B37" s="184"/>
      <c r="D37" s="184"/>
      <c r="E37" s="184"/>
      <c r="F37" s="184"/>
      <c r="G37" s="159"/>
      <c r="H37" s="184"/>
      <c r="I37" s="184"/>
      <c r="J37" s="184"/>
      <c r="K37" s="184"/>
      <c r="L37" s="184"/>
      <c r="M37" s="159"/>
      <c r="N37" s="184"/>
    </row>
    <row r="38" spans="1:16" x14ac:dyDescent="0.25">
      <c r="B38" s="41"/>
      <c r="C38" s="64"/>
      <c r="D38" s="64"/>
      <c r="E38" s="64"/>
      <c r="F38" s="64"/>
      <c r="G38" s="163"/>
      <c r="H38" s="64"/>
      <c r="I38" s="64"/>
      <c r="J38" s="64"/>
      <c r="K38" s="64"/>
      <c r="L38" s="65"/>
    </row>
    <row r="39" spans="1:16" x14ac:dyDescent="0.25">
      <c r="B39" s="22"/>
    </row>
    <row r="40" spans="1:16" x14ac:dyDescent="0.25">
      <c r="B40" s="22"/>
    </row>
    <row r="41" spans="1:16" x14ac:dyDescent="0.25">
      <c r="B41" s="22"/>
      <c r="C41" s="28"/>
      <c r="D41" s="28"/>
      <c r="E41" s="28"/>
      <c r="F41" s="28"/>
      <c r="G41" s="154"/>
      <c r="H41" s="28"/>
      <c r="I41" s="183"/>
      <c r="J41" s="28"/>
    </row>
    <row r="42" spans="1:16" x14ac:dyDescent="0.25">
      <c r="B42" s="22"/>
    </row>
    <row r="44" spans="1:16" x14ac:dyDescent="0.25">
      <c r="B44" s="41"/>
      <c r="C44" s="41"/>
      <c r="D44" s="41"/>
      <c r="E44" s="41"/>
      <c r="F44" s="41"/>
      <c r="G44" s="162"/>
      <c r="H44" s="41"/>
      <c r="I44" s="41"/>
      <c r="J44" s="41"/>
      <c r="K44" s="41"/>
    </row>
    <row r="45" spans="1:16" x14ac:dyDescent="0.25">
      <c r="B45" s="41"/>
      <c r="C45" s="41"/>
      <c r="D45" s="41"/>
      <c r="E45" s="41"/>
      <c r="F45" s="41"/>
      <c r="G45" s="162"/>
      <c r="H45" s="41"/>
      <c r="I45" s="41"/>
      <c r="J45" s="41"/>
      <c r="K45" s="41"/>
    </row>
    <row r="46" spans="1:16" x14ac:dyDescent="0.25">
      <c r="B46" s="22"/>
      <c r="C46" s="28"/>
      <c r="D46" s="28"/>
      <c r="E46" s="28"/>
      <c r="F46" s="28"/>
      <c r="G46" s="154"/>
      <c r="H46" s="183"/>
      <c r="I46" s="28"/>
      <c r="J46" s="41"/>
      <c r="K46" s="28"/>
    </row>
  </sheetData>
  <pageMargins left="0.7" right="0.7" top="0.75" bottom="0.75" header="0.3" footer="0.3"/>
  <pageSetup scale="72" orientation="landscape" verticalDpi="597" r:id="rId1"/>
  <drawing r:id="rId2"/>
  <legacyDrawing r:id="rId3"/>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6">
    <pageSetUpPr fitToPage="1"/>
  </sheetPr>
  <dimension ref="A6:S47"/>
  <sheetViews>
    <sheetView zoomScale="90" zoomScaleNormal="90" workbookViewId="0"/>
  </sheetViews>
  <sheetFormatPr defaultRowHeight="15" x14ac:dyDescent="0.25"/>
  <cols>
    <col min="1" max="1" width="7.140625" customWidth="1"/>
    <col min="2" max="2" width="11.140625" customWidth="1"/>
    <col min="3" max="3" width="6.42578125" customWidth="1"/>
    <col min="4" max="4" width="8.85546875" customWidth="1"/>
    <col min="5" max="5" width="8.140625" customWidth="1"/>
    <col min="6" max="6" width="8.85546875" customWidth="1"/>
    <col min="7" max="7" width="9.140625" style="155" customWidth="1"/>
    <col min="8" max="8" width="9.42578125" customWidth="1"/>
    <col min="10" max="10" width="7.7109375" customWidth="1"/>
    <col min="12" max="12" width="11" customWidth="1"/>
    <col min="13" max="13" width="6.7109375" style="155" customWidth="1"/>
    <col min="14" max="14" width="10.28515625" customWidth="1"/>
    <col min="18" max="18" width="10.28515625" customWidth="1"/>
  </cols>
  <sheetData>
    <row r="6" spans="1:15" x14ac:dyDescent="0.25">
      <c r="A6" s="7" t="s">
        <v>12</v>
      </c>
      <c r="B6" s="28"/>
      <c r="C6" s="28"/>
      <c r="D6" s="28"/>
      <c r="E6" s="28"/>
      <c r="F6" s="28"/>
      <c r="G6" s="154"/>
      <c r="H6" s="28"/>
      <c r="I6" s="139"/>
      <c r="J6" s="28"/>
      <c r="K6" s="28"/>
      <c r="L6" s="28"/>
      <c r="M6" s="154"/>
      <c r="N6" s="28"/>
      <c r="O6" s="28"/>
    </row>
    <row r="7" spans="1:15" x14ac:dyDescent="0.25">
      <c r="A7" s="30" t="s">
        <v>13</v>
      </c>
      <c r="B7" s="128">
        <v>41415</v>
      </c>
    </row>
    <row r="8" spans="1:15" x14ac:dyDescent="0.25">
      <c r="A8" s="28" t="s">
        <v>14</v>
      </c>
      <c r="B8" s="139" t="s">
        <v>527</v>
      </c>
      <c r="C8" s="28"/>
      <c r="D8" s="28"/>
      <c r="E8" s="28"/>
      <c r="F8" s="28"/>
      <c r="G8" s="154"/>
      <c r="H8" s="28"/>
      <c r="I8" s="139"/>
      <c r="J8" s="28"/>
      <c r="K8" s="28" t="s">
        <v>34</v>
      </c>
      <c r="L8" s="28" t="s">
        <v>34</v>
      </c>
      <c r="M8" s="154"/>
      <c r="N8" s="28"/>
    </row>
    <row r="9" spans="1:15" x14ac:dyDescent="0.25">
      <c r="A9" s="28" t="s">
        <v>15</v>
      </c>
      <c r="B9" s="139">
        <v>9</v>
      </c>
      <c r="C9" s="28" t="s">
        <v>530</v>
      </c>
      <c r="D9" s="28"/>
      <c r="E9" s="28"/>
      <c r="F9" s="28"/>
      <c r="G9" s="154"/>
      <c r="H9" s="28"/>
      <c r="I9" s="139"/>
      <c r="J9" s="28"/>
      <c r="K9" s="28"/>
      <c r="L9" s="28"/>
      <c r="M9" s="154"/>
      <c r="N9" s="28"/>
    </row>
    <row r="10" spans="1:15" ht="15.75" x14ac:dyDescent="0.25">
      <c r="A10" s="28" t="s">
        <v>16</v>
      </c>
      <c r="B10">
        <v>2000</v>
      </c>
      <c r="C10" s="31" t="s">
        <v>726</v>
      </c>
      <c r="D10" s="28"/>
      <c r="E10" s="28"/>
      <c r="F10" s="28"/>
      <c r="G10" s="154"/>
      <c r="H10" s="28"/>
      <c r="I10" s="139" t="s">
        <v>34</v>
      </c>
      <c r="J10" s="28" t="s">
        <v>34</v>
      </c>
      <c r="K10" s="28" t="s">
        <v>34</v>
      </c>
      <c r="L10" s="28" t="s">
        <v>34</v>
      </c>
      <c r="M10" s="154" t="s">
        <v>34</v>
      </c>
      <c r="N10" s="28" t="s">
        <v>34</v>
      </c>
    </row>
    <row r="11" spans="1:15" x14ac:dyDescent="0.25">
      <c r="A11" s="28"/>
      <c r="B11" s="243">
        <v>1600000000</v>
      </c>
      <c r="C11" s="31" t="s">
        <v>717</v>
      </c>
      <c r="D11" s="28"/>
      <c r="E11" s="28"/>
      <c r="F11" s="28"/>
      <c r="G11" s="154"/>
      <c r="H11" s="28"/>
      <c r="I11" s="139"/>
      <c r="J11" s="28"/>
      <c r="K11" s="28" t="s">
        <v>34</v>
      </c>
      <c r="L11" s="28"/>
      <c r="M11" s="154"/>
      <c r="N11" s="28"/>
    </row>
    <row r="12" spans="1:15" x14ac:dyDescent="0.25">
      <c r="A12" s="28"/>
      <c r="B12">
        <v>95</v>
      </c>
      <c r="C12" s="31" t="s">
        <v>701</v>
      </c>
      <c r="D12" s="28"/>
      <c r="E12" s="28"/>
      <c r="F12" s="28"/>
      <c r="G12" s="154"/>
      <c r="H12" s="28"/>
      <c r="I12" s="139"/>
      <c r="J12" s="28"/>
      <c r="K12" s="28"/>
      <c r="L12" s="28"/>
      <c r="M12" s="154"/>
      <c r="N12" s="28"/>
    </row>
    <row r="13" spans="1:15" x14ac:dyDescent="0.25">
      <c r="A13" s="28"/>
      <c r="B13" s="244">
        <v>6</v>
      </c>
      <c r="C13" s="28" t="s">
        <v>697</v>
      </c>
      <c r="D13" s="28"/>
      <c r="E13" s="28"/>
      <c r="F13" s="28"/>
      <c r="G13" s="154"/>
      <c r="H13" s="28"/>
      <c r="I13" s="251"/>
      <c r="J13" s="28"/>
      <c r="K13" s="28"/>
      <c r="L13" s="28"/>
      <c r="M13" s="154"/>
      <c r="N13" s="28"/>
    </row>
    <row r="14" spans="1:15" ht="15.75" thickBot="1" x14ac:dyDescent="0.3">
      <c r="A14" s="28"/>
      <c r="B14" s="244">
        <v>100</v>
      </c>
      <c r="C14" s="87" t="s">
        <v>696</v>
      </c>
      <c r="D14" s="28"/>
      <c r="E14" s="28"/>
      <c r="F14" s="28"/>
      <c r="G14" s="154"/>
      <c r="H14" s="28"/>
      <c r="I14" s="251"/>
      <c r="J14" s="50"/>
      <c r="K14" s="28"/>
      <c r="L14" s="28"/>
      <c r="M14" s="154"/>
      <c r="N14" s="28"/>
    </row>
    <row r="15" spans="1:15" x14ac:dyDescent="0.25">
      <c r="A15" s="28"/>
      <c r="B15" s="244">
        <v>0</v>
      </c>
      <c r="C15" s="87" t="s">
        <v>698</v>
      </c>
      <c r="D15" s="28"/>
      <c r="E15" s="28"/>
      <c r="F15" s="28"/>
      <c r="G15" s="154"/>
      <c r="H15" s="28"/>
      <c r="I15" s="251"/>
      <c r="J15" s="28"/>
      <c r="K15" s="28"/>
      <c r="L15" s="28"/>
      <c r="M15" s="154"/>
      <c r="N15" s="28"/>
    </row>
    <row r="16" spans="1:15" x14ac:dyDescent="0.25">
      <c r="A16" s="28"/>
      <c r="B16" s="245">
        <f>(B12*B13/100*1000)/(B10+B12-B14+B15)*1000</f>
        <v>2857.1428571428573</v>
      </c>
      <c r="C16" s="28" t="s">
        <v>700</v>
      </c>
      <c r="D16" s="28"/>
      <c r="E16" s="28"/>
      <c r="F16" s="28"/>
      <c r="G16" s="154"/>
      <c r="H16" s="28"/>
      <c r="I16" s="251"/>
      <c r="J16" s="28"/>
      <c r="K16" s="28"/>
      <c r="L16" s="28"/>
      <c r="M16" s="154"/>
      <c r="N16" s="28"/>
    </row>
    <row r="17" spans="1:19" ht="15.75" thickBot="1" x14ac:dyDescent="0.3">
      <c r="A17" s="28"/>
      <c r="B17" s="28" t="s">
        <v>647</v>
      </c>
      <c r="C17" s="28"/>
      <c r="D17" s="28"/>
      <c r="E17" s="28"/>
      <c r="F17" s="28"/>
      <c r="G17" s="154"/>
      <c r="H17" s="28"/>
      <c r="I17" s="139"/>
      <c r="J17" s="28"/>
      <c r="K17" s="28"/>
      <c r="L17" s="28"/>
      <c r="M17" s="154"/>
      <c r="N17" s="28"/>
    </row>
    <row r="18" spans="1:19" ht="77.25" thickBot="1" x14ac:dyDescent="0.3">
      <c r="A18" s="10" t="s">
        <v>29</v>
      </c>
      <c r="B18" s="11" t="s">
        <v>17</v>
      </c>
      <c r="C18" s="11" t="s">
        <v>30</v>
      </c>
      <c r="D18" s="11" t="s">
        <v>31</v>
      </c>
      <c r="E18" s="11" t="s">
        <v>32</v>
      </c>
      <c r="F18" s="11" t="s">
        <v>33</v>
      </c>
      <c r="G18" s="161" t="s">
        <v>202</v>
      </c>
      <c r="H18" s="11" t="s">
        <v>19</v>
      </c>
      <c r="I18" s="12" t="s">
        <v>20</v>
      </c>
      <c r="J18" s="11" t="s">
        <v>21</v>
      </c>
      <c r="K18" s="13" t="s">
        <v>22</v>
      </c>
      <c r="L18" s="11" t="s">
        <v>21</v>
      </c>
      <c r="M18" s="156" t="s">
        <v>23</v>
      </c>
      <c r="N18" s="14" t="s">
        <v>24</v>
      </c>
      <c r="O18" s="14" t="s">
        <v>25</v>
      </c>
      <c r="P18" s="14" t="s">
        <v>678</v>
      </c>
      <c r="Q18" s="14" t="s">
        <v>681</v>
      </c>
      <c r="R18" s="14" t="s">
        <v>897</v>
      </c>
      <c r="S18" s="14" t="s">
        <v>729</v>
      </c>
    </row>
    <row r="19" spans="1:19" ht="15.75" thickBot="1" x14ac:dyDescent="0.3">
      <c r="A19" s="32">
        <v>0</v>
      </c>
      <c r="B19" s="91">
        <v>20.399999999999999</v>
      </c>
      <c r="C19" s="105">
        <v>8.24</v>
      </c>
      <c r="D19" s="105">
        <v>7.15</v>
      </c>
      <c r="E19" s="91">
        <v>0.62</v>
      </c>
      <c r="F19" s="91">
        <v>0.21</v>
      </c>
      <c r="G19" s="122">
        <v>195</v>
      </c>
      <c r="H19" s="122">
        <v>105</v>
      </c>
      <c r="I19" s="124">
        <v>28600000</v>
      </c>
      <c r="J19" s="125">
        <f t="shared" ref="J19:J24" si="0">LOG(I$19)-LOG(I19)</f>
        <v>0</v>
      </c>
      <c r="K19" s="124">
        <v>79000000</v>
      </c>
      <c r="L19" s="91" t="s">
        <v>26</v>
      </c>
      <c r="M19" s="119"/>
      <c r="N19" s="119"/>
      <c r="O19" s="99"/>
      <c r="P19" s="233">
        <f>B$16*A19</f>
        <v>0</v>
      </c>
      <c r="Q19" s="233">
        <f>6/LINEST($J19:$J24,$P19:$P24,FALSE)</f>
        <v>72135.489721073303</v>
      </c>
      <c r="R19" s="249">
        <f>Q19/3000</f>
        <v>24.045163240357766</v>
      </c>
      <c r="S19" s="249">
        <f>(J27/LINEST($J19:$J24,$P19:$P24,FALSE))/$B$16</f>
        <v>31.390960610287063</v>
      </c>
    </row>
    <row r="20" spans="1:19" ht="15.75" thickBot="1" x14ac:dyDescent="0.3">
      <c r="A20" s="32">
        <v>3</v>
      </c>
      <c r="B20" s="103">
        <v>20.9</v>
      </c>
      <c r="C20" s="100">
        <v>10.28</v>
      </c>
      <c r="D20" s="105">
        <v>9.86</v>
      </c>
      <c r="E20" s="58">
        <v>3100</v>
      </c>
      <c r="F20" s="58">
        <v>0.31</v>
      </c>
      <c r="G20" s="113">
        <v>275</v>
      </c>
      <c r="H20" s="113">
        <v>73</v>
      </c>
      <c r="I20" s="124">
        <v>1820000</v>
      </c>
      <c r="J20" s="125">
        <f t="shared" si="0"/>
        <v>1.1962946451439675</v>
      </c>
      <c r="K20" s="124">
        <v>24400000</v>
      </c>
      <c r="L20" s="50">
        <f>LOG(K19)-LOG(K20)</f>
        <v>0.51023726495171218</v>
      </c>
      <c r="M20" s="120"/>
      <c r="N20" s="120"/>
      <c r="O20" s="99"/>
      <c r="P20" s="233">
        <f t="shared" ref="P20:P25" si="1">B$16*A20</f>
        <v>8571.4285714285725</v>
      </c>
      <c r="Q20" s="225"/>
    </row>
    <row r="21" spans="1:19" ht="15.75" thickBot="1" x14ac:dyDescent="0.3">
      <c r="A21" s="32">
        <v>5</v>
      </c>
      <c r="B21" s="103">
        <v>20.8</v>
      </c>
      <c r="C21" s="100">
        <v>10.27</v>
      </c>
      <c r="D21" s="191">
        <v>9.92</v>
      </c>
      <c r="E21" s="58">
        <v>3000</v>
      </c>
      <c r="F21" s="58">
        <v>0.39</v>
      </c>
      <c r="G21" s="113">
        <v>265</v>
      </c>
      <c r="H21" s="113"/>
      <c r="I21" s="124">
        <v>1350000</v>
      </c>
      <c r="J21" s="125">
        <f t="shared" si="0"/>
        <v>1.3260322646340361</v>
      </c>
      <c r="K21" s="124">
        <v>18950000</v>
      </c>
      <c r="L21" s="50">
        <f>LOG(K19)-LOG(K21)</f>
        <v>0.62001787698635091</v>
      </c>
      <c r="M21" s="120"/>
      <c r="N21" s="120"/>
      <c r="O21" s="99"/>
      <c r="P21" s="233">
        <f t="shared" si="1"/>
        <v>14285.714285714286</v>
      </c>
    </row>
    <row r="22" spans="1:19" ht="15.75" thickBot="1" x14ac:dyDescent="0.3">
      <c r="A22" s="32">
        <v>10</v>
      </c>
      <c r="B22" s="103">
        <v>21</v>
      </c>
      <c r="C22" s="100">
        <v>10.25</v>
      </c>
      <c r="D22" s="105">
        <v>9.99</v>
      </c>
      <c r="E22" s="58">
        <v>2900</v>
      </c>
      <c r="F22" s="58">
        <v>0.39</v>
      </c>
      <c r="G22" s="113">
        <v>266</v>
      </c>
      <c r="H22" s="113"/>
      <c r="I22" s="124">
        <v>980000</v>
      </c>
      <c r="J22" s="125">
        <f t="shared" si="0"/>
        <v>1.4651399574365476</v>
      </c>
      <c r="K22" s="124">
        <v>1860000</v>
      </c>
      <c r="L22" s="50">
        <f>LOG(K19)-LOG(K22)</f>
        <v>1.6281141470725258</v>
      </c>
      <c r="M22" s="120"/>
      <c r="N22" s="120"/>
      <c r="O22" s="99"/>
      <c r="P22" s="233">
        <f t="shared" si="1"/>
        <v>28571.428571428572</v>
      </c>
    </row>
    <row r="23" spans="1:19" ht="15.75" thickBot="1" x14ac:dyDescent="0.3">
      <c r="A23" s="32">
        <v>15</v>
      </c>
      <c r="B23" s="103">
        <v>21.3</v>
      </c>
      <c r="C23" s="100">
        <v>10.210000000000001</v>
      </c>
      <c r="D23" s="105">
        <v>9.7799999999999994</v>
      </c>
      <c r="E23" s="58">
        <v>2900</v>
      </c>
      <c r="F23" s="58">
        <v>0.37</v>
      </c>
      <c r="G23" s="113">
        <v>262</v>
      </c>
      <c r="H23" s="113"/>
      <c r="I23" s="124">
        <v>53.5</v>
      </c>
      <c r="J23" s="125">
        <f t="shared" si="0"/>
        <v>5.7280122511078142</v>
      </c>
      <c r="K23" s="124">
        <v>10300</v>
      </c>
      <c r="L23" s="50">
        <f>LOG(K19)-LOG(K23)</f>
        <v>3.8847898665852698</v>
      </c>
      <c r="M23" s="121"/>
      <c r="N23" s="121"/>
      <c r="O23" s="99"/>
      <c r="P23" s="233">
        <f t="shared" si="1"/>
        <v>42857.142857142862</v>
      </c>
    </row>
    <row r="24" spans="1:19" ht="15.75" thickBot="1" x14ac:dyDescent="0.3">
      <c r="A24" s="32">
        <v>30</v>
      </c>
      <c r="B24" s="103">
        <v>21.8</v>
      </c>
      <c r="C24" s="100">
        <v>10.17</v>
      </c>
      <c r="D24" s="105">
        <v>9.94</v>
      </c>
      <c r="E24" s="58">
        <v>2900</v>
      </c>
      <c r="F24" s="58">
        <v>0.44</v>
      </c>
      <c r="G24" s="113">
        <v>258</v>
      </c>
      <c r="H24" s="113"/>
      <c r="I24" s="124">
        <v>15</v>
      </c>
      <c r="J24" s="125">
        <f t="shared" si="0"/>
        <v>6.2802747740733613</v>
      </c>
      <c r="K24" s="124">
        <v>400</v>
      </c>
      <c r="L24" s="50">
        <f>LOG(K19)-LOG(K24)</f>
        <v>5.2955670999624793</v>
      </c>
      <c r="M24" s="121"/>
      <c r="N24" s="121"/>
      <c r="O24" s="89"/>
      <c r="P24" s="233">
        <f t="shared" si="1"/>
        <v>85714.285714285725</v>
      </c>
    </row>
    <row r="25" spans="1:19" ht="15.75" thickBot="1" x14ac:dyDescent="0.3">
      <c r="A25" s="32">
        <v>60</v>
      </c>
      <c r="B25" s="103">
        <v>22.1</v>
      </c>
      <c r="C25" s="100">
        <v>10.06</v>
      </c>
      <c r="D25" s="100">
        <v>10.01</v>
      </c>
      <c r="E25" s="58">
        <v>3100</v>
      </c>
      <c r="F25" s="58">
        <v>0.48</v>
      </c>
      <c r="G25" s="113">
        <v>242</v>
      </c>
      <c r="H25" s="113">
        <v>52</v>
      </c>
      <c r="I25" s="124">
        <v>0</v>
      </c>
      <c r="J25" s="50" t="s">
        <v>528</v>
      </c>
      <c r="K25" s="124">
        <v>1000</v>
      </c>
      <c r="L25" s="50">
        <f>LOG(K19)-LOG(K25)</f>
        <v>4.8976270912904418</v>
      </c>
      <c r="M25" s="121">
        <v>429</v>
      </c>
      <c r="N25" s="121">
        <v>6161</v>
      </c>
      <c r="O25" s="89"/>
      <c r="P25" s="233">
        <f t="shared" si="1"/>
        <v>171428.57142857145</v>
      </c>
    </row>
    <row r="26" spans="1:19" ht="15.75" thickBot="1" x14ac:dyDescent="0.3">
      <c r="A26" s="32" t="s">
        <v>516</v>
      </c>
      <c r="B26" s="103">
        <v>22.1</v>
      </c>
      <c r="C26" s="100">
        <v>10.050000000000001</v>
      </c>
      <c r="D26" s="100">
        <v>9.9600000000000009</v>
      </c>
      <c r="E26" s="58">
        <v>3000</v>
      </c>
      <c r="F26" s="58">
        <v>0.32</v>
      </c>
      <c r="G26" s="113">
        <v>243</v>
      </c>
      <c r="H26" s="113">
        <v>48</v>
      </c>
      <c r="I26" s="124">
        <v>0.5</v>
      </c>
      <c r="J26" s="125">
        <f>LOG(I$19)-LOG(I26)</f>
        <v>7.7573960287930239</v>
      </c>
      <c r="K26" s="124">
        <v>500</v>
      </c>
      <c r="L26" s="50">
        <f>LOG(K19)-LOG(K26)</f>
        <v>5.1986570869544231</v>
      </c>
      <c r="M26" s="121">
        <v>345</v>
      </c>
      <c r="N26" s="121">
        <v>6209</v>
      </c>
      <c r="O26" s="89">
        <v>2440</v>
      </c>
    </row>
    <row r="27" spans="1:19" x14ac:dyDescent="0.25">
      <c r="A27" s="142"/>
      <c r="B27" s="144">
        <f>AVERAGE(B20:B24)</f>
        <v>21.16</v>
      </c>
      <c r="C27" s="144">
        <f>AVERAGE(C20:C24)</f>
        <v>10.236000000000001</v>
      </c>
      <c r="D27" s="144"/>
      <c r="E27" s="145"/>
      <c r="F27" s="145"/>
      <c r="G27" s="146"/>
      <c r="H27" s="146"/>
      <c r="I27" s="147"/>
      <c r="J27" s="148">
        <v>7.46</v>
      </c>
      <c r="K27" s="147"/>
      <c r="L27" s="149"/>
      <c r="M27" s="150"/>
      <c r="N27" s="150"/>
      <c r="O27" s="151"/>
    </row>
    <row r="28" spans="1:19" x14ac:dyDescent="0.25">
      <c r="A28" s="142"/>
      <c r="B28" s="143"/>
      <c r="C28" s="144"/>
      <c r="D28" s="144"/>
      <c r="E28" s="145"/>
      <c r="F28" s="145"/>
      <c r="G28" s="146"/>
      <c r="H28" s="146"/>
      <c r="I28" s="147"/>
      <c r="J28" s="148"/>
      <c r="K28" s="147"/>
      <c r="L28" s="149"/>
      <c r="M28" s="150"/>
      <c r="N28" s="150"/>
      <c r="O28" s="151"/>
    </row>
    <row r="29" spans="1:19" x14ac:dyDescent="0.25">
      <c r="A29" s="28" t="s">
        <v>140</v>
      </c>
      <c r="B29" s="28"/>
      <c r="C29" s="28"/>
      <c r="D29" s="28"/>
      <c r="E29" s="28"/>
      <c r="F29" s="28"/>
      <c r="G29" s="154"/>
      <c r="H29" s="28"/>
      <c r="I29" s="139"/>
      <c r="J29" s="115"/>
      <c r="K29" s="28"/>
      <c r="M29" s="154"/>
      <c r="N29" s="28"/>
    </row>
    <row r="30" spans="1:19" x14ac:dyDescent="0.25">
      <c r="A30" s="28"/>
      <c r="B30" s="28" t="s">
        <v>459</v>
      </c>
      <c r="C30" s="28"/>
      <c r="D30" s="28"/>
      <c r="E30" s="28"/>
      <c r="F30" s="28"/>
      <c r="G30" s="154"/>
      <c r="H30" s="28"/>
      <c r="I30" s="139"/>
      <c r="J30" s="28"/>
      <c r="K30" s="28" t="s">
        <v>34</v>
      </c>
      <c r="L30" s="28" t="s">
        <v>34</v>
      </c>
      <c r="M30" s="154" t="s">
        <v>34</v>
      </c>
      <c r="N30" s="28" t="s">
        <v>34</v>
      </c>
    </row>
    <row r="31" spans="1:19" x14ac:dyDescent="0.25">
      <c r="A31" s="28" t="s">
        <v>272</v>
      </c>
      <c r="B31" s="28"/>
      <c r="C31" s="28"/>
      <c r="D31" s="28"/>
      <c r="E31" s="28"/>
      <c r="F31" s="28"/>
      <c r="G31" s="154"/>
      <c r="H31" s="28"/>
      <c r="I31" s="139"/>
      <c r="J31" s="28"/>
      <c r="K31" s="28" t="s">
        <v>34</v>
      </c>
      <c r="L31" s="28" t="s">
        <v>34</v>
      </c>
      <c r="M31" s="154"/>
      <c r="N31" s="28"/>
    </row>
    <row r="32" spans="1:19" x14ac:dyDescent="0.25">
      <c r="A32" s="28"/>
      <c r="F32" s="28"/>
      <c r="G32" s="154"/>
      <c r="H32" s="28"/>
      <c r="I32" s="139"/>
      <c r="J32" s="28"/>
      <c r="K32" s="28" t="s">
        <v>34</v>
      </c>
      <c r="L32" s="28" t="s">
        <v>34</v>
      </c>
      <c r="M32" s="154" t="s">
        <v>34</v>
      </c>
      <c r="N32" s="28"/>
    </row>
    <row r="33" spans="1:16" x14ac:dyDescent="0.25">
      <c r="A33" s="28"/>
      <c r="F33" s="28"/>
      <c r="G33" s="154"/>
      <c r="H33" s="28"/>
      <c r="I33" s="139"/>
      <c r="J33" s="28"/>
      <c r="K33" s="28"/>
      <c r="L33" s="28"/>
      <c r="M33" s="154"/>
      <c r="N33" s="28"/>
    </row>
    <row r="34" spans="1:16" x14ac:dyDescent="0.25">
      <c r="A34" s="19" t="s">
        <v>28</v>
      </c>
      <c r="B34" s="28"/>
      <c r="C34" s="75" t="s">
        <v>572</v>
      </c>
      <c r="D34" s="75"/>
      <c r="E34" s="75"/>
      <c r="F34" s="75"/>
      <c r="G34" s="157"/>
      <c r="H34" s="75"/>
      <c r="I34" s="75"/>
      <c r="J34" s="75"/>
      <c r="K34" s="75"/>
      <c r="L34" s="75"/>
      <c r="M34" s="157"/>
      <c r="N34" s="75"/>
      <c r="O34" s="75"/>
      <c r="P34" s="75"/>
    </row>
    <row r="35" spans="1:16" x14ac:dyDescent="0.25">
      <c r="A35" s="19"/>
      <c r="B35" s="28"/>
      <c r="C35" s="75" t="s">
        <v>573</v>
      </c>
      <c r="D35" s="75"/>
      <c r="E35" s="75"/>
      <c r="F35" s="75"/>
      <c r="G35" s="157"/>
      <c r="H35" s="75"/>
      <c r="I35" s="75"/>
      <c r="J35" s="75"/>
      <c r="K35" s="75"/>
      <c r="L35" s="75"/>
      <c r="M35" s="157"/>
      <c r="N35" s="75"/>
      <c r="O35" s="75"/>
      <c r="P35" s="75"/>
    </row>
    <row r="36" spans="1:16" x14ac:dyDescent="0.25">
      <c r="A36" s="28"/>
      <c r="B36" s="41"/>
      <c r="C36" s="189" t="s">
        <v>574</v>
      </c>
      <c r="D36" s="41"/>
      <c r="E36" s="41"/>
      <c r="F36" s="41"/>
      <c r="G36" s="162"/>
      <c r="H36" s="41"/>
      <c r="I36" s="41"/>
      <c r="J36" s="41"/>
      <c r="K36" s="41"/>
      <c r="L36" s="41"/>
      <c r="M36" s="154"/>
      <c r="N36" s="28"/>
    </row>
    <row r="37" spans="1:16" x14ac:dyDescent="0.25">
      <c r="A37" s="28"/>
      <c r="B37" s="41"/>
      <c r="C37" s="189" t="s">
        <v>540</v>
      </c>
      <c r="D37" s="41"/>
      <c r="E37" s="41"/>
      <c r="F37" s="41"/>
      <c r="G37" s="162"/>
      <c r="H37" s="41"/>
      <c r="I37" s="41"/>
      <c r="J37" s="41"/>
      <c r="K37" s="41"/>
      <c r="L37" s="41"/>
      <c r="M37" s="154"/>
      <c r="N37" s="28"/>
    </row>
    <row r="38" spans="1:16" x14ac:dyDescent="0.25">
      <c r="B38" s="140"/>
      <c r="C38" s="75" t="s">
        <v>536</v>
      </c>
      <c r="D38" s="140"/>
      <c r="E38" s="140"/>
      <c r="F38" s="140"/>
      <c r="G38" s="159"/>
      <c r="H38" s="140"/>
      <c r="I38" s="140"/>
      <c r="J38" s="140"/>
      <c r="K38" s="140"/>
      <c r="L38" s="140"/>
      <c r="M38" s="159"/>
      <c r="N38" s="140"/>
    </row>
    <row r="39" spans="1:16" x14ac:dyDescent="0.25">
      <c r="B39" s="41"/>
      <c r="C39" s="165" t="s">
        <v>538</v>
      </c>
      <c r="D39" s="64"/>
      <c r="E39" s="64"/>
      <c r="F39" s="64"/>
      <c r="G39" s="163"/>
      <c r="H39" s="64"/>
      <c r="I39" s="64"/>
      <c r="J39" s="64"/>
      <c r="K39" s="64"/>
      <c r="L39" s="65"/>
    </row>
    <row r="40" spans="1:16" x14ac:dyDescent="0.25">
      <c r="B40" s="22"/>
    </row>
    <row r="41" spans="1:16" x14ac:dyDescent="0.25">
      <c r="B41" s="22"/>
    </row>
    <row r="42" spans="1:16" x14ac:dyDescent="0.25">
      <c r="B42" s="22"/>
      <c r="C42" s="28"/>
      <c r="D42" s="28"/>
      <c r="E42" s="28"/>
      <c r="F42" s="28"/>
      <c r="G42" s="154"/>
      <c r="H42" s="28"/>
      <c r="I42" s="139"/>
      <c r="J42" s="28"/>
    </row>
    <row r="43" spans="1:16" x14ac:dyDescent="0.25">
      <c r="B43" s="22"/>
    </row>
    <row r="45" spans="1:16" x14ac:dyDescent="0.25">
      <c r="B45" s="41"/>
      <c r="C45" s="41"/>
      <c r="D45" s="41"/>
      <c r="E45" s="41"/>
      <c r="F45" s="41"/>
      <c r="G45" s="162"/>
      <c r="H45" s="41"/>
      <c r="I45" s="41"/>
      <c r="J45" s="41"/>
      <c r="K45" s="41"/>
    </row>
    <row r="46" spans="1:16" x14ac:dyDescent="0.25">
      <c r="B46" s="41"/>
      <c r="C46" s="41"/>
      <c r="D46" s="41"/>
      <c r="E46" s="41"/>
      <c r="F46" s="41"/>
      <c r="G46" s="162"/>
      <c r="H46" s="41"/>
      <c r="I46" s="41"/>
      <c r="J46" s="41"/>
      <c r="K46" s="41"/>
    </row>
    <row r="47" spans="1:16" x14ac:dyDescent="0.25">
      <c r="B47" s="22"/>
      <c r="C47" s="28"/>
      <c r="D47" s="28"/>
      <c r="E47" s="28"/>
      <c r="F47" s="28"/>
      <c r="G47" s="154"/>
      <c r="H47" s="139"/>
      <c r="I47" s="28"/>
      <c r="J47" s="41"/>
      <c r="K47" s="28"/>
    </row>
  </sheetData>
  <pageMargins left="0.7" right="0.7" top="0.75" bottom="0.75" header="0.3" footer="0.3"/>
  <pageSetup scale="72" orientation="landscape" verticalDpi="597" r:id="rId1"/>
  <drawing r:id="rId2"/>
  <legacyDrawing r:id="rId3"/>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7">
    <pageSetUpPr fitToPage="1"/>
  </sheetPr>
  <dimension ref="A5:S45"/>
  <sheetViews>
    <sheetView zoomScale="90" zoomScaleNormal="90" workbookViewId="0"/>
  </sheetViews>
  <sheetFormatPr defaultRowHeight="15" x14ac:dyDescent="0.25"/>
  <cols>
    <col min="1" max="1" width="7.140625" customWidth="1"/>
    <col min="2" max="2" width="11.140625" customWidth="1"/>
    <col min="3" max="3" width="6.42578125" customWidth="1"/>
    <col min="4" max="4" width="8.85546875" customWidth="1"/>
    <col min="5" max="5" width="8.140625" customWidth="1"/>
    <col min="6" max="6" width="8.85546875" customWidth="1"/>
    <col min="7" max="7" width="9.140625" style="155" customWidth="1"/>
    <col min="8" max="8" width="9.42578125" customWidth="1"/>
    <col min="10" max="10" width="7.7109375" customWidth="1"/>
    <col min="12" max="12" width="11" customWidth="1"/>
    <col min="13" max="13" width="6.7109375" style="155" customWidth="1"/>
    <col min="14" max="14" width="10.28515625" customWidth="1"/>
    <col min="17" max="17" width="12.140625" bestFit="1" customWidth="1"/>
  </cols>
  <sheetData>
    <row r="5" spans="1:15" x14ac:dyDescent="0.25">
      <c r="A5" s="7" t="s">
        <v>12</v>
      </c>
      <c r="B5" s="28"/>
      <c r="C5" s="28"/>
      <c r="D5" s="28"/>
      <c r="E5" s="28"/>
      <c r="F5" s="28"/>
      <c r="G5" s="154"/>
      <c r="H5" s="28"/>
      <c r="I5" s="139"/>
      <c r="J5" s="28"/>
      <c r="K5" s="28"/>
      <c r="L5" s="28"/>
      <c r="M5" s="154"/>
      <c r="N5" s="28"/>
      <c r="O5" s="28"/>
    </row>
    <row r="6" spans="1:15" x14ac:dyDescent="0.25">
      <c r="A6" s="30" t="s">
        <v>13</v>
      </c>
      <c r="B6" s="128">
        <v>41422</v>
      </c>
    </row>
    <row r="7" spans="1:15" x14ac:dyDescent="0.25">
      <c r="A7" s="28" t="s">
        <v>14</v>
      </c>
      <c r="B7" s="139" t="s">
        <v>531</v>
      </c>
      <c r="C7" s="28"/>
      <c r="D7" s="28"/>
      <c r="E7" s="28"/>
      <c r="F7" s="28"/>
      <c r="G7" s="154"/>
      <c r="H7" s="28"/>
      <c r="I7" s="139"/>
      <c r="J7" s="28"/>
      <c r="K7" s="28" t="s">
        <v>34</v>
      </c>
      <c r="L7" s="28" t="s">
        <v>34</v>
      </c>
      <c r="M7" s="154"/>
      <c r="N7" s="28"/>
    </row>
    <row r="8" spans="1:15" x14ac:dyDescent="0.25">
      <c r="A8" s="28" t="s">
        <v>15</v>
      </c>
      <c r="B8" s="139">
        <v>9</v>
      </c>
      <c r="C8" s="28" t="s">
        <v>530</v>
      </c>
      <c r="D8" s="28"/>
      <c r="E8" s="28"/>
      <c r="F8" s="28"/>
      <c r="G8" s="154"/>
      <c r="H8" s="28"/>
      <c r="I8" s="139"/>
      <c r="J8" s="28"/>
      <c r="K8" s="28"/>
      <c r="L8" s="28"/>
      <c r="M8" s="154"/>
      <c r="N8" s="28"/>
    </row>
    <row r="9" spans="1:15" ht="15.75" x14ac:dyDescent="0.25">
      <c r="A9" s="28" t="s">
        <v>16</v>
      </c>
      <c r="B9">
        <v>2000</v>
      </c>
      <c r="C9" s="31" t="s">
        <v>726</v>
      </c>
      <c r="D9" s="28"/>
      <c r="E9" s="28"/>
      <c r="F9" s="28"/>
      <c r="G9" s="154"/>
      <c r="H9" s="28"/>
      <c r="I9" s="139" t="s">
        <v>34</v>
      </c>
      <c r="J9" s="28" t="s">
        <v>34</v>
      </c>
      <c r="K9" s="28" t="s">
        <v>34</v>
      </c>
      <c r="L9" s="28" t="s">
        <v>34</v>
      </c>
      <c r="M9" s="154" t="s">
        <v>34</v>
      </c>
      <c r="N9" s="28" t="s">
        <v>34</v>
      </c>
    </row>
    <row r="10" spans="1:15" x14ac:dyDescent="0.25">
      <c r="A10" s="28"/>
      <c r="B10" s="243">
        <v>1600000000</v>
      </c>
      <c r="C10" s="31" t="s">
        <v>717</v>
      </c>
      <c r="D10" s="28"/>
      <c r="E10" s="28"/>
      <c r="F10" s="28"/>
      <c r="G10" s="154"/>
      <c r="H10" s="28"/>
      <c r="I10" s="139"/>
      <c r="J10" s="28"/>
      <c r="K10" s="28" t="s">
        <v>34</v>
      </c>
      <c r="L10" s="28"/>
      <c r="M10" s="154"/>
      <c r="N10" s="28"/>
    </row>
    <row r="11" spans="1:15" x14ac:dyDescent="0.25">
      <c r="A11" s="28"/>
      <c r="B11">
        <v>95</v>
      </c>
      <c r="C11" s="31" t="s">
        <v>701</v>
      </c>
      <c r="D11" s="28"/>
      <c r="E11" s="28"/>
      <c r="F11" s="28"/>
      <c r="G11" s="154"/>
      <c r="H11" s="28"/>
      <c r="I11" s="139"/>
      <c r="J11" s="28"/>
      <c r="K11" s="28"/>
      <c r="L11" s="28"/>
      <c r="M11" s="154"/>
      <c r="N11" s="28"/>
    </row>
    <row r="12" spans="1:15" x14ac:dyDescent="0.25">
      <c r="A12" s="28"/>
      <c r="B12" s="244">
        <v>6</v>
      </c>
      <c r="C12" s="28" t="s">
        <v>697</v>
      </c>
      <c r="D12" s="28"/>
      <c r="E12" s="28"/>
      <c r="F12" s="28"/>
      <c r="G12" s="154"/>
      <c r="H12" s="28"/>
      <c r="I12" s="251"/>
      <c r="J12" s="28"/>
      <c r="K12" s="28"/>
      <c r="L12" s="28"/>
      <c r="M12" s="154"/>
      <c r="N12" s="28"/>
    </row>
    <row r="13" spans="1:15" x14ac:dyDescent="0.25">
      <c r="A13" s="28"/>
      <c r="B13" s="244">
        <v>100</v>
      </c>
      <c r="C13" s="87" t="s">
        <v>696</v>
      </c>
      <c r="D13" s="28"/>
      <c r="E13" s="28"/>
      <c r="F13" s="28"/>
      <c r="G13" s="154"/>
      <c r="H13" s="28"/>
      <c r="I13" s="251"/>
      <c r="J13" s="28"/>
      <c r="K13" s="28"/>
      <c r="L13" s="28"/>
      <c r="M13" s="154"/>
      <c r="N13" s="28"/>
    </row>
    <row r="14" spans="1:15" x14ac:dyDescent="0.25">
      <c r="A14" s="28"/>
      <c r="B14" s="244">
        <v>0</v>
      </c>
      <c r="C14" s="87" t="s">
        <v>698</v>
      </c>
      <c r="D14" s="28"/>
      <c r="E14" s="28"/>
      <c r="F14" s="28"/>
      <c r="G14" s="154"/>
      <c r="H14" s="28"/>
      <c r="I14" s="251"/>
      <c r="J14" s="28"/>
      <c r="K14" s="28"/>
      <c r="L14" s="28"/>
      <c r="M14" s="154"/>
      <c r="N14" s="28"/>
    </row>
    <row r="15" spans="1:15" x14ac:dyDescent="0.25">
      <c r="A15" s="28"/>
      <c r="B15" s="245">
        <f>(B11*B12/100*1000)/(B9+B11-B13+B14)*1000</f>
        <v>2857.1428571428573</v>
      </c>
      <c r="C15" s="28" t="s">
        <v>700</v>
      </c>
      <c r="D15" s="28"/>
      <c r="E15" s="28"/>
      <c r="F15" s="28"/>
      <c r="G15" s="154"/>
      <c r="H15" s="28"/>
      <c r="I15" s="251"/>
      <c r="J15" s="28"/>
      <c r="K15" s="28"/>
      <c r="L15" s="28"/>
      <c r="M15" s="154"/>
      <c r="N15" s="28"/>
    </row>
    <row r="16" spans="1:15" ht="15.75" thickBot="1" x14ac:dyDescent="0.3">
      <c r="A16" s="28"/>
      <c r="B16" s="28" t="s">
        <v>647</v>
      </c>
      <c r="C16" s="28"/>
      <c r="D16" s="28"/>
      <c r="E16" s="28"/>
      <c r="F16" s="28"/>
      <c r="G16" s="154"/>
      <c r="H16" s="28"/>
      <c r="I16" s="139"/>
      <c r="J16" s="28"/>
      <c r="K16" s="28"/>
      <c r="L16" s="28"/>
      <c r="M16" s="154"/>
      <c r="N16" s="28"/>
    </row>
    <row r="17" spans="1:19" ht="90" thickBot="1" x14ac:dyDescent="0.3">
      <c r="A17" s="10" t="s">
        <v>29</v>
      </c>
      <c r="B17" s="11" t="s">
        <v>17</v>
      </c>
      <c r="C17" s="11" t="s">
        <v>30</v>
      </c>
      <c r="D17" s="11" t="s">
        <v>31</v>
      </c>
      <c r="E17" s="11" t="s">
        <v>32</v>
      </c>
      <c r="F17" s="11" t="s">
        <v>33</v>
      </c>
      <c r="G17" s="161" t="s">
        <v>202</v>
      </c>
      <c r="H17" s="11" t="s">
        <v>19</v>
      </c>
      <c r="I17" s="12" t="s">
        <v>20</v>
      </c>
      <c r="J17" s="11" t="s">
        <v>21</v>
      </c>
      <c r="K17" s="13" t="s">
        <v>22</v>
      </c>
      <c r="L17" s="11" t="s">
        <v>21</v>
      </c>
      <c r="M17" s="156" t="s">
        <v>23</v>
      </c>
      <c r="N17" s="14" t="s">
        <v>24</v>
      </c>
      <c r="O17" s="14" t="s">
        <v>25</v>
      </c>
      <c r="P17" s="14" t="s">
        <v>678</v>
      </c>
      <c r="Q17" s="14" t="s">
        <v>681</v>
      </c>
      <c r="R17" s="14" t="s">
        <v>897</v>
      </c>
      <c r="S17" s="14" t="s">
        <v>729</v>
      </c>
    </row>
    <row r="18" spans="1:19" s="189" customFormat="1" ht="15.75" customHeight="1" thickBot="1" x14ac:dyDescent="0.25">
      <c r="A18" s="32">
        <v>0</v>
      </c>
      <c r="B18" s="91">
        <v>17.899999999999999</v>
      </c>
      <c r="C18" s="105">
        <v>7.85</v>
      </c>
      <c r="D18" s="105">
        <v>7.93</v>
      </c>
      <c r="E18" s="91">
        <v>0.25</v>
      </c>
      <c r="F18" s="91">
        <v>0.25</v>
      </c>
      <c r="G18" s="122">
        <v>223</v>
      </c>
      <c r="H18" s="122">
        <v>133</v>
      </c>
      <c r="I18" s="124">
        <v>40500000</v>
      </c>
      <c r="J18" s="125">
        <f t="shared" ref="J18:J23" si="0">LOG(I$18)-LOG(I18)</f>
        <v>0</v>
      </c>
      <c r="K18" s="124">
        <v>62000000</v>
      </c>
      <c r="L18" s="91" t="s">
        <v>26</v>
      </c>
      <c r="M18" s="119"/>
      <c r="N18" s="119"/>
      <c r="O18" s="99"/>
      <c r="P18" s="233">
        <f>B$15*A18</f>
        <v>0</v>
      </c>
      <c r="Q18" s="233">
        <f>6/LINEST($J18:$J23,$P18:$P23,FALSE)</f>
        <v>122387.94855919774</v>
      </c>
      <c r="R18" s="249">
        <f>Q18/3000</f>
        <v>40.795982853065915</v>
      </c>
      <c r="S18" s="249">
        <f>(J25/LINEST($J18:$J23,$P18:$P23,FALSE))/$B$15</f>
        <v>44.977571095505162</v>
      </c>
    </row>
    <row r="19" spans="1:19" s="189" customFormat="1" ht="15.75" customHeight="1" thickBot="1" x14ac:dyDescent="0.3">
      <c r="A19" s="32">
        <v>5</v>
      </c>
      <c r="B19" s="103">
        <v>18.399999999999999</v>
      </c>
      <c r="C19" s="100">
        <v>10.14</v>
      </c>
      <c r="D19" s="191">
        <v>10.92</v>
      </c>
      <c r="E19" s="58">
        <v>3100</v>
      </c>
      <c r="F19" s="58">
        <v>0.33</v>
      </c>
      <c r="G19" s="113">
        <v>229</v>
      </c>
      <c r="H19" s="113"/>
      <c r="I19" s="124">
        <v>1010000</v>
      </c>
      <c r="J19" s="125">
        <f t="shared" si="0"/>
        <v>1.6031336494320261</v>
      </c>
      <c r="K19" s="124" t="s">
        <v>460</v>
      </c>
      <c r="L19" s="91" t="s">
        <v>26</v>
      </c>
      <c r="M19" s="120"/>
      <c r="N19" s="120"/>
      <c r="O19" s="99"/>
      <c r="P19" s="233">
        <f t="shared" ref="P19:P23" si="1">B$15*A19</f>
        <v>14285.714285714286</v>
      </c>
      <c r="Q19"/>
      <c r="R19"/>
      <c r="S19"/>
    </row>
    <row r="20" spans="1:19" s="189" customFormat="1" ht="15.75" customHeight="1" thickBot="1" x14ac:dyDescent="0.3">
      <c r="A20" s="32">
        <v>10</v>
      </c>
      <c r="B20" s="103">
        <v>18.600000000000001</v>
      </c>
      <c r="C20" s="100">
        <v>10.119999999999999</v>
      </c>
      <c r="D20" s="105">
        <v>10.66</v>
      </c>
      <c r="E20" s="58">
        <v>3200</v>
      </c>
      <c r="F20" s="58">
        <v>0.17</v>
      </c>
      <c r="G20" s="113">
        <v>237</v>
      </c>
      <c r="H20" s="113"/>
      <c r="I20" s="124">
        <v>985000</v>
      </c>
      <c r="J20" s="125">
        <f t="shared" si="0"/>
        <v>1.6140187927170562</v>
      </c>
      <c r="K20" s="124">
        <v>3240000</v>
      </c>
      <c r="L20" s="50">
        <f>LOG(K18)-LOG(K20)</f>
        <v>1.2818466792916414</v>
      </c>
      <c r="M20" s="120"/>
      <c r="N20" s="120"/>
      <c r="O20" s="99"/>
      <c r="P20" s="233">
        <f t="shared" si="1"/>
        <v>28571.428571428572</v>
      </c>
      <c r="Q20"/>
      <c r="R20"/>
      <c r="S20"/>
    </row>
    <row r="21" spans="1:19" s="189" customFormat="1" ht="15.75" customHeight="1" thickBot="1" x14ac:dyDescent="0.3">
      <c r="A21" s="32">
        <v>15</v>
      </c>
      <c r="B21" s="103">
        <v>18.8</v>
      </c>
      <c r="C21" s="100">
        <v>10.1</v>
      </c>
      <c r="D21" s="105">
        <v>10.97</v>
      </c>
      <c r="E21" s="58">
        <v>3000</v>
      </c>
      <c r="F21" s="58">
        <v>0.56000000000000005</v>
      </c>
      <c r="G21" s="113">
        <v>236</v>
      </c>
      <c r="H21" s="113"/>
      <c r="I21" s="124">
        <v>104</v>
      </c>
      <c r="J21" s="125">
        <f t="shared" si="0"/>
        <v>5.5904216839158885</v>
      </c>
      <c r="K21" s="124">
        <v>7850</v>
      </c>
      <c r="L21" s="50">
        <f>LOG(K18)-LOG(K21)</f>
        <v>3.8975220327530007</v>
      </c>
      <c r="M21" s="121"/>
      <c r="N21" s="121"/>
      <c r="O21" s="99"/>
      <c r="P21" s="233">
        <f t="shared" si="1"/>
        <v>42857.142857142862</v>
      </c>
      <c r="Q21"/>
      <c r="R21"/>
      <c r="S21"/>
    </row>
    <row r="22" spans="1:19" s="189" customFormat="1" ht="15.75" customHeight="1" thickBot="1" x14ac:dyDescent="0.3">
      <c r="A22" s="32">
        <v>30</v>
      </c>
      <c r="B22" s="103">
        <v>20.3</v>
      </c>
      <c r="C22" s="100">
        <v>10.039999999999999</v>
      </c>
      <c r="D22" s="105">
        <v>10.86</v>
      </c>
      <c r="E22" s="58">
        <v>3100</v>
      </c>
      <c r="F22" s="58">
        <v>0.44</v>
      </c>
      <c r="G22" s="113">
        <v>242</v>
      </c>
      <c r="H22" s="113"/>
      <c r="I22" s="124">
        <v>15</v>
      </c>
      <c r="J22" s="125">
        <f t="shared" si="0"/>
        <v>6.4313637641589869</v>
      </c>
      <c r="K22" s="124">
        <v>1000</v>
      </c>
      <c r="L22" s="50">
        <f>LOG(K18)-LOG(K22)</f>
        <v>4.7923916894982534</v>
      </c>
      <c r="M22" s="121"/>
      <c r="N22" s="121"/>
      <c r="O22" s="89"/>
      <c r="P22" s="233">
        <f t="shared" si="1"/>
        <v>85714.285714285725</v>
      </c>
      <c r="Q22"/>
      <c r="R22"/>
      <c r="S22"/>
    </row>
    <row r="23" spans="1:19" s="189" customFormat="1" ht="15.75" customHeight="1" thickBot="1" x14ac:dyDescent="0.3">
      <c r="A23" s="193">
        <v>60</v>
      </c>
      <c r="B23" s="103">
        <v>20.9</v>
      </c>
      <c r="C23" s="100">
        <v>9.9499999999999993</v>
      </c>
      <c r="D23" s="100">
        <v>10.79</v>
      </c>
      <c r="E23" s="58">
        <v>3100</v>
      </c>
      <c r="F23" s="58">
        <v>0.36</v>
      </c>
      <c r="G23" s="113">
        <v>239</v>
      </c>
      <c r="H23" s="113">
        <v>56</v>
      </c>
      <c r="I23" s="124">
        <v>20</v>
      </c>
      <c r="J23" s="125">
        <f t="shared" si="0"/>
        <v>6.306425027550687</v>
      </c>
      <c r="K23" s="124">
        <v>0</v>
      </c>
      <c r="L23" s="50" t="s">
        <v>533</v>
      </c>
      <c r="M23" s="121">
        <v>348</v>
      </c>
      <c r="N23" s="121">
        <v>6063</v>
      </c>
      <c r="O23" s="89"/>
      <c r="P23" s="233">
        <f t="shared" si="1"/>
        <v>171428.57142857145</v>
      </c>
      <c r="Q23"/>
      <c r="R23"/>
      <c r="S23"/>
    </row>
    <row r="24" spans="1:19" s="189" customFormat="1" ht="15.75" customHeight="1" thickBot="1" x14ac:dyDescent="0.3">
      <c r="A24" s="32" t="s">
        <v>516</v>
      </c>
      <c r="B24" s="103">
        <v>20.9</v>
      </c>
      <c r="C24" s="100">
        <v>9.9499999999999993</v>
      </c>
      <c r="D24" s="100">
        <v>10.51</v>
      </c>
      <c r="E24" s="58">
        <v>3200</v>
      </c>
      <c r="F24" s="58">
        <v>0.33</v>
      </c>
      <c r="G24" s="113">
        <v>240</v>
      </c>
      <c r="H24" s="113">
        <v>46</v>
      </c>
      <c r="I24" s="124">
        <v>0</v>
      </c>
      <c r="J24" s="50" t="s">
        <v>532</v>
      </c>
      <c r="K24" s="124">
        <v>0</v>
      </c>
      <c r="L24" s="50" t="s">
        <v>533</v>
      </c>
      <c r="M24" s="121">
        <v>298</v>
      </c>
      <c r="N24" s="121">
        <v>6386</v>
      </c>
      <c r="O24" s="89">
        <v>2500</v>
      </c>
      <c r="P24"/>
      <c r="Q24"/>
      <c r="R24"/>
      <c r="S24"/>
    </row>
    <row r="25" spans="1:19" ht="15.75" thickBot="1" x14ac:dyDescent="0.3">
      <c r="A25" s="142"/>
      <c r="B25" s="144">
        <f>AVERAGE(B19:B23)</f>
        <v>19.399999999999999</v>
      </c>
      <c r="C25" s="144">
        <f>AVERAGE(C19:C23)</f>
        <v>10.069999999999999</v>
      </c>
      <c r="D25" s="144"/>
      <c r="E25" s="145"/>
      <c r="F25" s="145"/>
      <c r="G25" s="146"/>
      <c r="H25" s="146"/>
      <c r="I25" s="147"/>
      <c r="J25" s="148">
        <v>6.3</v>
      </c>
      <c r="K25" s="147"/>
      <c r="L25" s="149"/>
      <c r="M25" s="150"/>
      <c r="N25" s="150"/>
      <c r="O25" s="151"/>
    </row>
    <row r="26" spans="1:19" ht="15.75" thickBot="1" x14ac:dyDescent="0.3">
      <c r="A26" s="142"/>
      <c r="B26" s="143"/>
      <c r="C26" s="144"/>
      <c r="D26" s="144"/>
      <c r="E26" s="145"/>
      <c r="F26" s="145"/>
      <c r="G26" s="146"/>
      <c r="H26" s="146"/>
      <c r="I26" s="147"/>
      <c r="J26" s="148"/>
      <c r="K26" s="147"/>
      <c r="L26" s="149"/>
      <c r="M26" s="150"/>
      <c r="N26" s="150"/>
      <c r="O26" s="151"/>
      <c r="Q26">
        <f>6/Q27</f>
        <v>122399.02080783353</v>
      </c>
      <c r="R26" s="249">
        <f>Q26/3000</f>
        <v>40.799673602611179</v>
      </c>
    </row>
    <row r="27" spans="1:19" x14ac:dyDescent="0.25">
      <c r="A27" s="28" t="s">
        <v>140</v>
      </c>
      <c r="B27" s="28"/>
      <c r="C27" s="28"/>
      <c r="D27" s="28"/>
      <c r="E27" s="28"/>
      <c r="F27" s="28"/>
      <c r="G27" s="154"/>
      <c r="H27" s="28"/>
      <c r="I27" s="139"/>
      <c r="J27" s="115"/>
      <c r="K27" s="28"/>
      <c r="M27" s="154"/>
      <c r="N27" s="28"/>
      <c r="Q27">
        <f>0.00004902</f>
        <v>4.9020000000000002E-5</v>
      </c>
    </row>
    <row r="28" spans="1:19" x14ac:dyDescent="0.25">
      <c r="A28" s="28"/>
      <c r="B28" s="28" t="s">
        <v>459</v>
      </c>
      <c r="C28" s="28"/>
      <c r="D28" s="28"/>
      <c r="E28" s="28"/>
      <c r="F28" s="28"/>
      <c r="G28" s="154"/>
      <c r="H28" s="28"/>
      <c r="I28" s="139"/>
      <c r="J28" s="28"/>
      <c r="K28" s="28" t="s">
        <v>34</v>
      </c>
      <c r="L28" s="28" t="s">
        <v>34</v>
      </c>
      <c r="M28" s="154" t="s">
        <v>34</v>
      </c>
      <c r="N28" s="28" t="s">
        <v>34</v>
      </c>
    </row>
    <row r="29" spans="1:19" x14ac:dyDescent="0.25">
      <c r="A29" s="28" t="s">
        <v>272</v>
      </c>
      <c r="B29" s="28"/>
      <c r="C29" s="28"/>
      <c r="D29" s="28"/>
      <c r="E29" s="28"/>
      <c r="F29" s="28"/>
      <c r="G29" s="154"/>
      <c r="H29" s="28"/>
      <c r="I29" s="139"/>
      <c r="J29" s="28"/>
      <c r="K29" s="28" t="s">
        <v>34</v>
      </c>
      <c r="L29" s="28" t="s">
        <v>34</v>
      </c>
      <c r="M29" s="154"/>
      <c r="N29" s="28"/>
    </row>
    <row r="30" spans="1:19" x14ac:dyDescent="0.25">
      <c r="A30" s="28" t="s">
        <v>575</v>
      </c>
      <c r="F30" s="28"/>
      <c r="G30" s="154"/>
      <c r="H30" s="28"/>
      <c r="I30" s="139"/>
      <c r="J30" s="28"/>
      <c r="K30" s="28" t="s">
        <v>34</v>
      </c>
      <c r="L30" s="28" t="s">
        <v>34</v>
      </c>
      <c r="M30" s="154" t="s">
        <v>34</v>
      </c>
      <c r="N30" s="28"/>
    </row>
    <row r="31" spans="1:19" x14ac:dyDescent="0.25">
      <c r="A31" s="28"/>
      <c r="F31" s="28"/>
      <c r="G31" s="154"/>
      <c r="H31" s="28"/>
      <c r="I31" s="139"/>
      <c r="J31" s="28"/>
      <c r="K31" s="28"/>
      <c r="L31" s="28"/>
      <c r="M31" s="154"/>
      <c r="N31" s="28"/>
    </row>
    <row r="32" spans="1:19" x14ac:dyDescent="0.25">
      <c r="A32" s="19" t="s">
        <v>28</v>
      </c>
      <c r="B32" s="28"/>
      <c r="C32" s="75" t="s">
        <v>534</v>
      </c>
      <c r="D32" s="75"/>
      <c r="E32" s="75"/>
      <c r="F32" s="75"/>
      <c r="G32" s="157"/>
      <c r="H32" s="75"/>
      <c r="I32" s="75"/>
      <c r="J32" s="75"/>
      <c r="K32" s="75"/>
      <c r="L32" s="75"/>
      <c r="M32" s="157"/>
      <c r="N32" s="75"/>
      <c r="O32" s="75"/>
      <c r="P32" s="75"/>
    </row>
    <row r="33" spans="1:14" x14ac:dyDescent="0.25">
      <c r="A33" s="28"/>
      <c r="B33" s="22"/>
      <c r="C33" s="152" t="s">
        <v>535</v>
      </c>
      <c r="D33" s="141"/>
      <c r="E33" s="141"/>
      <c r="F33" s="141"/>
      <c r="G33" s="158"/>
      <c r="H33" s="141"/>
      <c r="I33" s="141"/>
      <c r="J33" s="141"/>
      <c r="K33" s="141"/>
      <c r="L33" s="141"/>
      <c r="M33" s="158"/>
      <c r="N33" s="141"/>
    </row>
    <row r="34" spans="1:14" x14ac:dyDescent="0.25">
      <c r="A34" s="28"/>
      <c r="B34" s="41"/>
      <c r="C34" s="164" t="s">
        <v>539</v>
      </c>
      <c r="D34" s="41"/>
      <c r="E34" s="41"/>
      <c r="F34" s="41"/>
      <c r="G34" s="162"/>
      <c r="H34" s="41"/>
      <c r="I34" s="41"/>
      <c r="J34" s="41"/>
      <c r="K34" s="41"/>
      <c r="L34" s="41"/>
      <c r="M34" s="154"/>
      <c r="N34" s="28"/>
    </row>
    <row r="35" spans="1:14" x14ac:dyDescent="0.25">
      <c r="A35" s="28"/>
      <c r="B35" s="41"/>
      <c r="C35" s="41"/>
      <c r="D35" s="41"/>
      <c r="E35" s="41"/>
      <c r="F35" s="41"/>
      <c r="G35" s="162"/>
      <c r="H35" s="41"/>
      <c r="I35" s="41"/>
      <c r="J35" s="41"/>
      <c r="K35" s="41"/>
      <c r="L35" s="41"/>
      <c r="M35" s="154"/>
      <c r="N35" s="28"/>
    </row>
    <row r="36" spans="1:14" x14ac:dyDescent="0.25">
      <c r="B36" s="140"/>
      <c r="C36" s="140"/>
      <c r="D36" s="140"/>
      <c r="E36" s="140"/>
      <c r="F36" s="140"/>
      <c r="G36" s="159"/>
      <c r="H36" s="140"/>
      <c r="I36" s="140"/>
      <c r="J36" s="140"/>
      <c r="K36" s="140"/>
      <c r="L36" s="140"/>
      <c r="M36" s="159"/>
      <c r="N36" s="140"/>
    </row>
    <row r="37" spans="1:14" x14ac:dyDescent="0.25">
      <c r="B37" s="41"/>
      <c r="C37" s="64"/>
      <c r="D37" s="64"/>
      <c r="E37" s="64"/>
      <c r="F37" s="64"/>
      <c r="G37" s="163"/>
      <c r="H37" s="64"/>
      <c r="I37" s="64"/>
      <c r="J37" s="64"/>
      <c r="K37" s="64"/>
      <c r="L37" s="65"/>
    </row>
    <row r="38" spans="1:14" x14ac:dyDescent="0.25">
      <c r="B38" s="22"/>
    </row>
    <row r="39" spans="1:14" x14ac:dyDescent="0.25">
      <c r="B39" s="22"/>
    </row>
    <row r="40" spans="1:14" x14ac:dyDescent="0.25">
      <c r="B40" s="22"/>
      <c r="C40" s="28"/>
      <c r="D40" s="28"/>
      <c r="E40" s="28"/>
      <c r="F40" s="28"/>
      <c r="G40" s="154"/>
      <c r="H40" s="28"/>
      <c r="I40" s="139"/>
      <c r="J40" s="28"/>
    </row>
    <row r="41" spans="1:14" x14ac:dyDescent="0.25">
      <c r="B41" s="22"/>
    </row>
    <row r="43" spans="1:14" x14ac:dyDescent="0.25">
      <c r="B43" s="41"/>
      <c r="C43" s="41"/>
      <c r="D43" s="41"/>
      <c r="E43" s="41"/>
      <c r="F43" s="41"/>
      <c r="G43" s="162"/>
      <c r="H43" s="41"/>
      <c r="I43" s="41"/>
      <c r="J43" s="41"/>
      <c r="K43" s="41"/>
    </row>
    <row r="44" spans="1:14" x14ac:dyDescent="0.25">
      <c r="B44" s="41"/>
      <c r="C44" s="41"/>
      <c r="D44" s="41"/>
      <c r="E44" s="41"/>
      <c r="F44" s="41"/>
      <c r="G44" s="162"/>
      <c r="H44" s="41"/>
      <c r="I44" s="41"/>
      <c r="J44" s="41"/>
      <c r="K44" s="41"/>
    </row>
    <row r="45" spans="1:14" x14ac:dyDescent="0.25">
      <c r="B45" s="22"/>
      <c r="C45" s="28"/>
      <c r="D45" s="28"/>
      <c r="E45" s="28"/>
      <c r="F45" s="28"/>
      <c r="G45" s="154"/>
      <c r="H45" s="139"/>
      <c r="I45" s="28"/>
      <c r="J45" s="41"/>
      <c r="K45" s="28"/>
    </row>
  </sheetData>
  <pageMargins left="0.7" right="0.7" top="0.75" bottom="0.75" header="0.3" footer="0.3"/>
  <pageSetup scale="72" orientation="landscape" verticalDpi="597" r:id="rId1"/>
  <drawing r:id="rId2"/>
  <legacyDrawing r:id="rId3"/>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8">
    <pageSetUpPr fitToPage="1"/>
  </sheetPr>
  <dimension ref="A6:S49"/>
  <sheetViews>
    <sheetView zoomScale="90" zoomScaleNormal="90" workbookViewId="0"/>
  </sheetViews>
  <sheetFormatPr defaultRowHeight="15" x14ac:dyDescent="0.25"/>
  <cols>
    <col min="1" max="1" width="7.140625" customWidth="1"/>
    <col min="2" max="2" width="11.140625" customWidth="1"/>
    <col min="3" max="3" width="6.42578125" customWidth="1"/>
    <col min="4" max="4" width="8.85546875" customWidth="1"/>
    <col min="5" max="5" width="8.140625" customWidth="1"/>
    <col min="6" max="6" width="8.85546875" customWidth="1"/>
    <col min="7" max="7" width="9.140625" style="155" customWidth="1"/>
    <col min="8" max="8" width="9.42578125" customWidth="1"/>
    <col min="10" max="10" width="7.7109375" customWidth="1"/>
    <col min="12" max="12" width="11" customWidth="1"/>
    <col min="13" max="13" width="6.7109375" style="177" customWidth="1"/>
    <col min="14" max="14" width="10.28515625" style="178" customWidth="1"/>
    <col min="15" max="15" width="9.140625" style="178"/>
  </cols>
  <sheetData>
    <row r="6" spans="1:15" x14ac:dyDescent="0.25">
      <c r="A6" s="7" t="s">
        <v>12</v>
      </c>
      <c r="B6" s="28"/>
      <c r="C6" s="28"/>
      <c r="D6" s="28"/>
      <c r="E6" s="28"/>
      <c r="F6" s="28"/>
      <c r="G6" s="154"/>
      <c r="H6" s="28"/>
      <c r="I6" s="166"/>
      <c r="J6" s="28"/>
      <c r="K6" s="28"/>
      <c r="L6" s="28"/>
      <c r="M6" s="176"/>
      <c r="N6" s="169"/>
      <c r="O6" s="169"/>
    </row>
    <row r="7" spans="1:15" x14ac:dyDescent="0.25">
      <c r="A7" s="30" t="s">
        <v>13</v>
      </c>
      <c r="B7" s="128">
        <v>41428</v>
      </c>
    </row>
    <row r="8" spans="1:15" x14ac:dyDescent="0.25">
      <c r="A8" s="28" t="s">
        <v>14</v>
      </c>
      <c r="B8" s="166" t="s">
        <v>542</v>
      </c>
      <c r="C8" s="28"/>
      <c r="D8" s="28"/>
      <c r="E8" s="28"/>
      <c r="F8" s="28"/>
      <c r="G8" s="154"/>
      <c r="H8" s="28"/>
      <c r="I8" s="166"/>
      <c r="J8" s="28"/>
      <c r="K8" s="28" t="s">
        <v>34</v>
      </c>
      <c r="L8" s="28" t="s">
        <v>34</v>
      </c>
      <c r="M8" s="176"/>
      <c r="N8" s="169"/>
    </row>
    <row r="9" spans="1:15" x14ac:dyDescent="0.25">
      <c r="A9" s="28" t="s">
        <v>15</v>
      </c>
      <c r="B9" s="166">
        <v>9</v>
      </c>
      <c r="C9" s="28" t="s">
        <v>530</v>
      </c>
      <c r="D9" s="28"/>
      <c r="E9" s="28"/>
      <c r="F9" s="28"/>
      <c r="G9" s="154"/>
      <c r="H9" s="28"/>
      <c r="I9" s="166"/>
      <c r="J9" s="28"/>
      <c r="K9" s="28"/>
      <c r="L9" s="28"/>
      <c r="M9" s="176"/>
      <c r="N9" s="169"/>
    </row>
    <row r="10" spans="1:15" ht="15.75" x14ac:dyDescent="0.25">
      <c r="A10" s="28" t="s">
        <v>16</v>
      </c>
      <c r="B10">
        <v>2800</v>
      </c>
      <c r="C10" s="31" t="s">
        <v>725</v>
      </c>
      <c r="D10" s="28"/>
      <c r="E10" s="28"/>
      <c r="F10" s="28"/>
      <c r="G10" s="154"/>
      <c r="H10" s="28"/>
      <c r="I10" s="166" t="s">
        <v>34</v>
      </c>
      <c r="J10" s="28" t="s">
        <v>34</v>
      </c>
      <c r="K10" s="28" t="s">
        <v>34</v>
      </c>
      <c r="L10" s="28" t="s">
        <v>34</v>
      </c>
      <c r="M10" s="176" t="s">
        <v>34</v>
      </c>
      <c r="N10" s="169" t="s">
        <v>34</v>
      </c>
    </row>
    <row r="11" spans="1:15" x14ac:dyDescent="0.25">
      <c r="A11" s="28"/>
      <c r="B11" s="243">
        <v>1600000000</v>
      </c>
      <c r="C11" s="31" t="s">
        <v>717</v>
      </c>
      <c r="D11" s="28"/>
      <c r="E11" s="28"/>
      <c r="F11" s="28"/>
      <c r="G11" s="154"/>
      <c r="H11" s="28"/>
      <c r="I11" s="166"/>
      <c r="J11" s="28"/>
      <c r="K11" s="28" t="s">
        <v>34</v>
      </c>
      <c r="L11" s="28"/>
      <c r="M11" s="176"/>
      <c r="N11" s="169"/>
    </row>
    <row r="12" spans="1:15" x14ac:dyDescent="0.25">
      <c r="A12" s="28"/>
      <c r="B12">
        <v>133</v>
      </c>
      <c r="C12" s="31" t="s">
        <v>701</v>
      </c>
      <c r="D12" s="28"/>
      <c r="E12" s="28"/>
      <c r="F12" s="28"/>
      <c r="G12" s="154"/>
      <c r="H12" s="28"/>
      <c r="I12" s="166"/>
      <c r="J12" s="28"/>
      <c r="K12" s="28"/>
      <c r="L12" s="28"/>
      <c r="M12" s="176"/>
      <c r="N12" s="169"/>
    </row>
    <row r="13" spans="1:15" x14ac:dyDescent="0.25">
      <c r="A13" s="28"/>
      <c r="B13" s="244">
        <v>6</v>
      </c>
      <c r="C13" s="28" t="s">
        <v>697</v>
      </c>
      <c r="D13" s="28"/>
      <c r="E13" s="28"/>
      <c r="F13" s="28"/>
      <c r="G13" s="154"/>
      <c r="H13" s="28"/>
      <c r="I13" s="251"/>
      <c r="J13" s="28"/>
      <c r="K13" s="28"/>
      <c r="L13" s="28"/>
      <c r="M13" s="176"/>
      <c r="N13" s="251"/>
    </row>
    <row r="14" spans="1:15" x14ac:dyDescent="0.25">
      <c r="A14" s="28"/>
      <c r="B14" s="244">
        <v>100</v>
      </c>
      <c r="C14" s="87" t="s">
        <v>696</v>
      </c>
      <c r="D14" s="28"/>
      <c r="E14" s="28"/>
      <c r="F14" s="28"/>
      <c r="G14" s="154"/>
      <c r="H14" s="28"/>
      <c r="I14" s="251"/>
      <c r="J14" s="28"/>
      <c r="K14" s="28"/>
      <c r="L14" s="28"/>
      <c r="M14" s="176"/>
      <c r="N14" s="251"/>
    </row>
    <row r="15" spans="1:15" x14ac:dyDescent="0.25">
      <c r="A15" s="28"/>
      <c r="B15" s="244">
        <v>0</v>
      </c>
      <c r="C15" s="87" t="s">
        <v>698</v>
      </c>
      <c r="D15" s="28"/>
      <c r="E15" s="28"/>
      <c r="F15" s="28"/>
      <c r="G15" s="154"/>
      <c r="H15" s="28"/>
      <c r="I15" s="251"/>
      <c r="J15" s="28"/>
      <c r="K15" s="28"/>
      <c r="L15" s="28"/>
      <c r="M15" s="176"/>
      <c r="N15" s="251"/>
    </row>
    <row r="16" spans="1:15" x14ac:dyDescent="0.25">
      <c r="A16" s="28"/>
      <c r="B16" s="245">
        <f>(B12*B13/100*1000)/(B10+B12-B14+B15)*1000</f>
        <v>2816.8019767031415</v>
      </c>
      <c r="C16" s="28" t="s">
        <v>700</v>
      </c>
      <c r="D16" s="28"/>
      <c r="E16" s="28"/>
      <c r="F16" s="28"/>
      <c r="G16" s="154"/>
      <c r="H16" s="28"/>
      <c r="I16" s="251"/>
      <c r="J16" s="28"/>
      <c r="K16" s="28"/>
      <c r="L16" s="28"/>
      <c r="M16" s="176"/>
      <c r="N16" s="251"/>
    </row>
    <row r="17" spans="1:19" ht="15.75" thickBot="1" x14ac:dyDescent="0.3">
      <c r="A17" s="28"/>
      <c r="B17" s="28" t="s">
        <v>647</v>
      </c>
      <c r="C17" s="28"/>
      <c r="D17" s="28"/>
      <c r="E17" s="28"/>
      <c r="F17" s="28"/>
      <c r="G17" s="154"/>
      <c r="H17" s="28"/>
      <c r="I17" s="166"/>
      <c r="J17" s="28"/>
      <c r="K17" s="28"/>
      <c r="L17" s="28"/>
      <c r="M17" s="176"/>
      <c r="N17" s="169"/>
    </row>
    <row r="18" spans="1:19" ht="90" thickBot="1" x14ac:dyDescent="0.3">
      <c r="A18" s="10" t="s">
        <v>29</v>
      </c>
      <c r="B18" s="11" t="s">
        <v>17</v>
      </c>
      <c r="C18" s="11" t="s">
        <v>30</v>
      </c>
      <c r="D18" s="11" t="s">
        <v>31</v>
      </c>
      <c r="E18" s="11" t="s">
        <v>32</v>
      </c>
      <c r="F18" s="11" t="s">
        <v>33</v>
      </c>
      <c r="G18" s="161" t="s">
        <v>202</v>
      </c>
      <c r="H18" s="11" t="s">
        <v>19</v>
      </c>
      <c r="I18" s="12" t="s">
        <v>20</v>
      </c>
      <c r="J18" s="11" t="s">
        <v>21</v>
      </c>
      <c r="K18" s="13" t="s">
        <v>22</v>
      </c>
      <c r="L18" s="11" t="s">
        <v>21</v>
      </c>
      <c r="M18" s="156" t="s">
        <v>23</v>
      </c>
      <c r="N18" s="14" t="s">
        <v>24</v>
      </c>
      <c r="O18" s="14" t="s">
        <v>25</v>
      </c>
      <c r="P18" s="14" t="s">
        <v>678</v>
      </c>
      <c r="Q18" s="14" t="s">
        <v>681</v>
      </c>
      <c r="R18" s="14" t="s">
        <v>897</v>
      </c>
      <c r="S18" s="14" t="s">
        <v>729</v>
      </c>
    </row>
    <row r="19" spans="1:19" ht="15.75" thickBot="1" x14ac:dyDescent="0.3">
      <c r="A19" s="32">
        <v>0</v>
      </c>
      <c r="B19" s="91">
        <v>4</v>
      </c>
      <c r="C19" s="173">
        <v>8.01</v>
      </c>
      <c r="D19" s="105">
        <v>9.57</v>
      </c>
      <c r="E19" s="91">
        <v>0.39</v>
      </c>
      <c r="F19" s="91">
        <v>0.51</v>
      </c>
      <c r="G19" s="122">
        <v>327</v>
      </c>
      <c r="H19" s="122">
        <v>207</v>
      </c>
      <c r="I19" s="124">
        <v>30000000</v>
      </c>
      <c r="J19" s="125">
        <f t="shared" ref="J19:J24" si="0">LOG(I$19)-LOG(I19)</f>
        <v>0</v>
      </c>
      <c r="K19" s="124">
        <v>103000000</v>
      </c>
      <c r="L19" s="91" t="s">
        <v>26</v>
      </c>
      <c r="M19" s="119"/>
      <c r="N19" s="119"/>
      <c r="O19" s="60"/>
      <c r="P19" s="233">
        <f>B$16*A19</f>
        <v>0</v>
      </c>
      <c r="Q19" s="233">
        <f>6/LINEST($J19:$J24,$P19:$P24,FALSE)</f>
        <v>195189.5553568684</v>
      </c>
      <c r="R19" s="249">
        <f>Q19/3000</f>
        <v>65.063185118956127</v>
      </c>
      <c r="S19" s="249">
        <f>(J29/LINEST($J19:$J24,$P19:$P24,FALSE))/$B$16</f>
        <v>86.387440209660426</v>
      </c>
    </row>
    <row r="20" spans="1:19" ht="15.75" thickBot="1" x14ac:dyDescent="0.3">
      <c r="A20" s="32">
        <v>5</v>
      </c>
      <c r="B20" s="103">
        <v>4.7</v>
      </c>
      <c r="C20" s="174">
        <v>10.32</v>
      </c>
      <c r="D20" s="105">
        <v>9.57</v>
      </c>
      <c r="E20" s="58">
        <v>2900</v>
      </c>
      <c r="F20" s="58">
        <v>0.28000000000000003</v>
      </c>
      <c r="G20" s="113">
        <v>319</v>
      </c>
      <c r="H20" s="113">
        <v>65</v>
      </c>
      <c r="I20" s="124">
        <v>18000000</v>
      </c>
      <c r="J20" s="125">
        <f t="shared" si="0"/>
        <v>0.22184874961635614</v>
      </c>
      <c r="K20" s="124">
        <v>20300000</v>
      </c>
      <c r="L20" s="50">
        <f>LOG(K19)-LOG(K20)</f>
        <v>0.70534118679196034</v>
      </c>
      <c r="M20" s="121"/>
      <c r="N20" s="121"/>
      <c r="O20" s="60"/>
      <c r="P20" s="233">
        <f t="shared" ref="P20:P25" si="1">B$16*A20</f>
        <v>14084.009883515708</v>
      </c>
      <c r="Q20" s="225"/>
    </row>
    <row r="21" spans="1:19" ht="15.75" thickBot="1" x14ac:dyDescent="0.3">
      <c r="A21" s="32">
        <v>10</v>
      </c>
      <c r="B21" s="192">
        <v>4.7</v>
      </c>
      <c r="C21" s="174">
        <v>10.33</v>
      </c>
      <c r="D21" s="191">
        <v>9.57</v>
      </c>
      <c r="E21" s="58">
        <v>3000</v>
      </c>
      <c r="F21" s="58">
        <v>0.66</v>
      </c>
      <c r="G21" s="113">
        <v>310</v>
      </c>
      <c r="H21" s="113"/>
      <c r="I21" s="124">
        <v>16500000</v>
      </c>
      <c r="J21" s="125">
        <f t="shared" si="0"/>
        <v>0.25963731050575589</v>
      </c>
      <c r="K21" s="124">
        <v>14200000</v>
      </c>
      <c r="L21" s="50">
        <f>LOG(K19)-LOG(K21)</f>
        <v>0.86054888032211618</v>
      </c>
      <c r="M21" s="121"/>
      <c r="N21" s="121"/>
      <c r="O21" s="60"/>
      <c r="P21" s="233">
        <f t="shared" si="1"/>
        <v>28168.019767031416</v>
      </c>
    </row>
    <row r="22" spans="1:19" ht="15.75" thickBot="1" x14ac:dyDescent="0.3">
      <c r="A22" s="32">
        <v>15</v>
      </c>
      <c r="B22" s="103">
        <v>4.5999999999999996</v>
      </c>
      <c r="C22" s="174">
        <v>10.35</v>
      </c>
      <c r="D22" s="105">
        <v>9.5299999999999994</v>
      </c>
      <c r="E22" s="58">
        <v>3000</v>
      </c>
      <c r="F22" s="58">
        <v>0.4</v>
      </c>
      <c r="G22" s="113">
        <v>297</v>
      </c>
      <c r="H22" s="113"/>
      <c r="I22" s="124">
        <v>5850000</v>
      </c>
      <c r="J22" s="125">
        <f t="shared" si="0"/>
        <v>0.70996538863748171</v>
      </c>
      <c r="K22" s="124">
        <v>12100000</v>
      </c>
      <c r="L22" s="50">
        <f>LOG(K19)-LOG(K22)</f>
        <v>0.93005185438872306</v>
      </c>
      <c r="M22" s="121"/>
      <c r="N22" s="121"/>
      <c r="O22" s="60"/>
      <c r="P22" s="233">
        <f t="shared" si="1"/>
        <v>42252.02965054712</v>
      </c>
    </row>
    <row r="23" spans="1:19" ht="15.75" thickBot="1" x14ac:dyDescent="0.3">
      <c r="A23" s="32">
        <v>30</v>
      </c>
      <c r="B23" s="103">
        <v>4.5</v>
      </c>
      <c r="C23" s="174">
        <v>10.47</v>
      </c>
      <c r="D23" s="105">
        <v>9.5299999999999994</v>
      </c>
      <c r="E23" s="58">
        <v>3000</v>
      </c>
      <c r="F23" s="58">
        <v>0.54</v>
      </c>
      <c r="G23" s="113">
        <v>319</v>
      </c>
      <c r="H23" s="113"/>
      <c r="I23" s="124">
        <v>510000</v>
      </c>
      <c r="J23" s="125">
        <f t="shared" si="0"/>
        <v>1.7695510786217259</v>
      </c>
      <c r="K23" s="124">
        <v>620000</v>
      </c>
      <c r="L23" s="50">
        <f>LOG(K19)-LOG(K23)</f>
        <v>2.2204455352069195</v>
      </c>
      <c r="M23" s="121"/>
      <c r="N23" s="121"/>
      <c r="O23" s="60"/>
      <c r="P23" s="233">
        <f t="shared" si="1"/>
        <v>84504.059301094239</v>
      </c>
    </row>
    <row r="24" spans="1:19" ht="15.75" thickBot="1" x14ac:dyDescent="0.3">
      <c r="A24" s="193">
        <v>60</v>
      </c>
      <c r="B24" s="103">
        <v>4</v>
      </c>
      <c r="C24" s="174">
        <v>10.34</v>
      </c>
      <c r="D24" s="105">
        <v>9.56</v>
      </c>
      <c r="E24" s="58">
        <v>3000</v>
      </c>
      <c r="F24" s="58">
        <v>0.57999999999999996</v>
      </c>
      <c r="G24" s="113">
        <v>303</v>
      </c>
      <c r="H24" s="113"/>
      <c r="I24" s="124">
        <v>40</v>
      </c>
      <c r="J24" s="125">
        <f t="shared" si="0"/>
        <v>5.8750612633917001</v>
      </c>
      <c r="K24" s="124">
        <v>300</v>
      </c>
      <c r="L24" s="50">
        <f>LOG(K19)-LOG(K24)</f>
        <v>5.5357159699855103</v>
      </c>
      <c r="M24" s="121"/>
      <c r="N24" s="121"/>
      <c r="O24" s="89"/>
      <c r="P24" s="233">
        <f t="shared" si="1"/>
        <v>169008.11860218848</v>
      </c>
    </row>
    <row r="25" spans="1:19" ht="15.75" thickBot="1" x14ac:dyDescent="0.3">
      <c r="A25" s="32">
        <v>120</v>
      </c>
      <c r="B25" s="103">
        <v>3.2</v>
      </c>
      <c r="C25" s="174">
        <v>10.3</v>
      </c>
      <c r="D25" s="100">
        <v>9.56</v>
      </c>
      <c r="E25" s="58">
        <v>3000</v>
      </c>
      <c r="F25" s="58">
        <v>0.28000000000000003</v>
      </c>
      <c r="G25" s="113">
        <v>323</v>
      </c>
      <c r="H25" s="113"/>
      <c r="I25" s="124">
        <v>0</v>
      </c>
      <c r="J25" s="50" t="s">
        <v>544</v>
      </c>
      <c r="K25" s="124">
        <v>0</v>
      </c>
      <c r="L25" s="50" t="s">
        <v>545</v>
      </c>
      <c r="M25" s="121"/>
      <c r="N25" s="121"/>
      <c r="O25" s="89"/>
      <c r="P25" s="233">
        <f t="shared" si="1"/>
        <v>338016.23720437696</v>
      </c>
    </row>
    <row r="26" spans="1:19" ht="15.75" thickBot="1" x14ac:dyDescent="0.3">
      <c r="A26" s="172">
        <v>180</v>
      </c>
      <c r="B26" s="111">
        <v>3</v>
      </c>
      <c r="C26" s="173">
        <v>10.27</v>
      </c>
      <c r="D26" s="105">
        <v>9.4700000000000006</v>
      </c>
      <c r="E26" s="91">
        <v>3100</v>
      </c>
      <c r="F26" s="91">
        <v>0.48</v>
      </c>
      <c r="G26" s="122">
        <v>325</v>
      </c>
      <c r="H26" s="122"/>
      <c r="I26" s="124">
        <v>0</v>
      </c>
      <c r="J26" s="50" t="s">
        <v>544</v>
      </c>
      <c r="K26" s="124">
        <v>0</v>
      </c>
      <c r="L26" s="50" t="s">
        <v>545</v>
      </c>
      <c r="M26" s="121"/>
      <c r="N26" s="121"/>
      <c r="O26" s="89"/>
    </row>
    <row r="27" spans="1:19" ht="15.75" thickBot="1" x14ac:dyDescent="0.3">
      <c r="A27" s="172">
        <v>240</v>
      </c>
      <c r="B27" s="111">
        <v>2.8</v>
      </c>
      <c r="C27" s="173">
        <v>10.24</v>
      </c>
      <c r="D27" s="105">
        <v>9.5299999999999994</v>
      </c>
      <c r="E27" s="91">
        <v>2900</v>
      </c>
      <c r="F27" s="91">
        <v>0.59</v>
      </c>
      <c r="G27" s="122">
        <v>294</v>
      </c>
      <c r="H27" s="122">
        <v>16</v>
      </c>
      <c r="I27" s="175">
        <v>0</v>
      </c>
      <c r="J27" s="50" t="s">
        <v>544</v>
      </c>
      <c r="K27" s="175">
        <v>0</v>
      </c>
      <c r="L27" s="50" t="s">
        <v>545</v>
      </c>
      <c r="M27" s="121">
        <v>56</v>
      </c>
      <c r="N27" s="121">
        <v>6007</v>
      </c>
      <c r="O27" s="89"/>
    </row>
    <row r="28" spans="1:19" ht="15.75" thickBot="1" x14ac:dyDescent="0.3">
      <c r="A28" s="172" t="s">
        <v>543</v>
      </c>
      <c r="B28" s="111">
        <v>2.8</v>
      </c>
      <c r="C28" s="173">
        <v>10.24</v>
      </c>
      <c r="D28" s="105">
        <v>9.56</v>
      </c>
      <c r="E28" s="91">
        <v>2800</v>
      </c>
      <c r="F28" s="91">
        <v>0.47</v>
      </c>
      <c r="G28" s="122">
        <v>294</v>
      </c>
      <c r="H28" s="122">
        <v>15</v>
      </c>
      <c r="I28" s="175">
        <v>0</v>
      </c>
      <c r="J28" s="50" t="s">
        <v>544</v>
      </c>
      <c r="K28" s="175">
        <v>0</v>
      </c>
      <c r="L28" s="50" t="s">
        <v>545</v>
      </c>
      <c r="M28" s="121">
        <v>65</v>
      </c>
      <c r="N28" s="121">
        <v>5947</v>
      </c>
      <c r="O28" s="89">
        <v>2400</v>
      </c>
    </row>
    <row r="29" spans="1:19" x14ac:dyDescent="0.25">
      <c r="B29" s="144">
        <f>AVERAGE(B20:B24)</f>
        <v>4.5</v>
      </c>
      <c r="C29" s="144">
        <f>AVERAGE(C20:C24)</f>
        <v>10.362</v>
      </c>
      <c r="D29" s="144"/>
      <c r="E29" s="145"/>
      <c r="F29" s="145"/>
      <c r="G29" s="146"/>
      <c r="H29" s="146"/>
      <c r="I29" s="147"/>
      <c r="J29" s="148">
        <v>7.48</v>
      </c>
      <c r="K29" s="147"/>
      <c r="L29" s="149"/>
      <c r="M29" s="150"/>
      <c r="N29" s="150"/>
      <c r="O29" s="151"/>
    </row>
    <row r="30" spans="1:19" x14ac:dyDescent="0.25">
      <c r="A30" s="142"/>
      <c r="B30" s="143"/>
      <c r="C30" s="144"/>
      <c r="D30" s="144"/>
      <c r="E30" s="145"/>
      <c r="F30" s="145"/>
      <c r="G30" s="146"/>
      <c r="H30" s="146"/>
      <c r="I30" s="147"/>
      <c r="J30" s="148"/>
      <c r="K30" s="147"/>
      <c r="L30" s="149"/>
      <c r="M30" s="150"/>
      <c r="N30" s="150"/>
      <c r="O30" s="151"/>
    </row>
    <row r="31" spans="1:19" x14ac:dyDescent="0.25">
      <c r="A31" s="28" t="s">
        <v>140</v>
      </c>
      <c r="B31" s="28"/>
      <c r="C31" s="28"/>
      <c r="D31" s="28"/>
      <c r="E31" s="28"/>
      <c r="F31" s="28"/>
      <c r="G31" s="154"/>
      <c r="H31" s="28"/>
      <c r="I31" s="166"/>
      <c r="J31" s="115"/>
      <c r="K31" s="28"/>
      <c r="M31" s="176"/>
      <c r="N31" s="169"/>
    </row>
    <row r="32" spans="1:19" x14ac:dyDescent="0.25">
      <c r="A32" s="28"/>
      <c r="B32" s="28" t="s">
        <v>459</v>
      </c>
      <c r="C32" s="28"/>
      <c r="D32" s="28"/>
      <c r="E32" s="28"/>
      <c r="F32" s="28"/>
      <c r="G32" s="154"/>
      <c r="H32" s="28"/>
      <c r="I32" s="166"/>
      <c r="J32" s="28"/>
      <c r="K32" s="28" t="s">
        <v>34</v>
      </c>
      <c r="L32" s="28" t="s">
        <v>34</v>
      </c>
      <c r="M32" s="176" t="s">
        <v>34</v>
      </c>
      <c r="N32" s="169" t="s">
        <v>34</v>
      </c>
    </row>
    <row r="33" spans="1:16" x14ac:dyDescent="0.25">
      <c r="A33" s="28" t="s">
        <v>272</v>
      </c>
      <c r="B33" s="28"/>
      <c r="C33" s="28"/>
      <c r="D33" s="28"/>
      <c r="E33" s="28"/>
      <c r="F33" s="28"/>
      <c r="G33" s="154"/>
      <c r="H33" s="28"/>
      <c r="I33" s="166"/>
      <c r="J33" s="28"/>
      <c r="K33" s="28" t="s">
        <v>34</v>
      </c>
      <c r="L33" s="28" t="s">
        <v>34</v>
      </c>
      <c r="M33" s="176"/>
      <c r="N33" s="169"/>
    </row>
    <row r="34" spans="1:16" x14ac:dyDescent="0.25">
      <c r="A34" s="28"/>
      <c r="F34" s="28"/>
      <c r="G34" s="154"/>
      <c r="H34" s="28"/>
      <c r="I34" s="166"/>
      <c r="J34" s="28"/>
      <c r="K34" s="28" t="s">
        <v>34</v>
      </c>
      <c r="L34" s="28" t="s">
        <v>34</v>
      </c>
      <c r="M34" s="176" t="s">
        <v>34</v>
      </c>
      <c r="N34" s="169"/>
    </row>
    <row r="35" spans="1:16" x14ac:dyDescent="0.25">
      <c r="A35" s="28"/>
      <c r="F35" s="28"/>
      <c r="G35" s="154"/>
      <c r="H35" s="28"/>
      <c r="I35" s="166"/>
      <c r="J35" s="28"/>
      <c r="K35" s="28"/>
      <c r="L35" s="28"/>
      <c r="M35" s="176"/>
      <c r="N35" s="169"/>
    </row>
    <row r="36" spans="1:16" x14ac:dyDescent="0.25">
      <c r="A36" s="19" t="s">
        <v>28</v>
      </c>
      <c r="B36" s="28"/>
      <c r="C36" s="75" t="s">
        <v>534</v>
      </c>
      <c r="D36" s="75"/>
      <c r="E36" s="75"/>
      <c r="F36" s="75"/>
      <c r="G36" s="157"/>
      <c r="H36" s="75"/>
      <c r="I36" s="75"/>
      <c r="J36" s="75"/>
      <c r="K36" s="75"/>
      <c r="L36" s="75"/>
      <c r="M36" s="176"/>
      <c r="N36" s="169"/>
      <c r="O36" s="169"/>
      <c r="P36" s="75"/>
    </row>
    <row r="37" spans="1:16" x14ac:dyDescent="0.25">
      <c r="A37" s="28"/>
      <c r="B37" s="22"/>
      <c r="C37" s="171" t="s">
        <v>547</v>
      </c>
      <c r="D37" s="168"/>
      <c r="E37" s="168"/>
      <c r="F37" s="168"/>
      <c r="G37" s="158"/>
      <c r="H37" s="168"/>
      <c r="I37" s="168"/>
      <c r="J37" s="168"/>
      <c r="K37" s="168"/>
      <c r="L37" s="168"/>
      <c r="M37" s="176"/>
      <c r="N37" s="169"/>
    </row>
    <row r="38" spans="1:16" x14ac:dyDescent="0.25">
      <c r="A38" s="28"/>
      <c r="B38" s="41"/>
      <c r="C38" s="164" t="s">
        <v>546</v>
      </c>
      <c r="D38" s="41"/>
      <c r="E38" s="41"/>
      <c r="F38" s="41"/>
      <c r="G38" s="162"/>
      <c r="H38" s="41"/>
      <c r="I38" s="41"/>
      <c r="J38" s="41"/>
      <c r="K38" s="41"/>
      <c r="L38" s="41"/>
      <c r="M38" s="176"/>
      <c r="N38" s="169"/>
    </row>
    <row r="39" spans="1:16" x14ac:dyDescent="0.25">
      <c r="A39" s="28"/>
      <c r="B39" s="41"/>
      <c r="C39" s="164" t="s">
        <v>555</v>
      </c>
      <c r="D39" s="41"/>
      <c r="E39" s="41"/>
      <c r="F39" s="41"/>
      <c r="G39" s="162"/>
      <c r="H39" s="41"/>
      <c r="I39" s="41"/>
      <c r="J39" s="41"/>
      <c r="K39" s="41"/>
      <c r="L39" s="41"/>
      <c r="M39" s="176"/>
      <c r="N39" s="169"/>
    </row>
    <row r="40" spans="1:16" x14ac:dyDescent="0.25">
      <c r="B40" s="167"/>
      <c r="C40" s="167"/>
      <c r="D40" s="167"/>
      <c r="E40" s="167"/>
      <c r="F40" s="167"/>
      <c r="G40" s="159"/>
      <c r="H40" s="167"/>
      <c r="I40" s="167"/>
      <c r="J40" s="167"/>
      <c r="K40" s="167"/>
      <c r="L40" s="167"/>
      <c r="M40" s="179"/>
      <c r="N40" s="180"/>
    </row>
    <row r="41" spans="1:16" x14ac:dyDescent="0.25">
      <c r="B41" s="41"/>
      <c r="C41" s="189" t="s">
        <v>554</v>
      </c>
      <c r="D41" s="64"/>
      <c r="E41" s="64"/>
      <c r="F41" s="64"/>
      <c r="G41" s="163"/>
      <c r="H41" s="64"/>
      <c r="I41" s="64"/>
      <c r="J41" s="64"/>
      <c r="K41" s="64"/>
      <c r="L41" s="65"/>
    </row>
    <row r="42" spans="1:16" x14ac:dyDescent="0.25">
      <c r="B42" s="22"/>
      <c r="C42" s="189" t="s">
        <v>556</v>
      </c>
    </row>
    <row r="43" spans="1:16" x14ac:dyDescent="0.25">
      <c r="B43" s="22"/>
    </row>
    <row r="44" spans="1:16" x14ac:dyDescent="0.25">
      <c r="B44" s="22"/>
      <c r="C44" s="28"/>
      <c r="D44" s="28"/>
      <c r="E44" s="28"/>
      <c r="F44" s="28"/>
      <c r="G44" s="154"/>
      <c r="H44" s="28"/>
      <c r="I44" s="166"/>
      <c r="J44" s="28"/>
    </row>
    <row r="45" spans="1:16" x14ac:dyDescent="0.25">
      <c r="B45" s="22"/>
    </row>
    <row r="47" spans="1:16" x14ac:dyDescent="0.25">
      <c r="B47" s="41"/>
      <c r="C47" s="41"/>
      <c r="D47" s="41"/>
      <c r="E47" s="41"/>
      <c r="F47" s="41"/>
      <c r="G47" s="162"/>
      <c r="H47" s="41"/>
      <c r="I47" s="41"/>
      <c r="J47" s="41"/>
      <c r="K47" s="41"/>
    </row>
    <row r="48" spans="1:16" x14ac:dyDescent="0.25">
      <c r="B48" s="41"/>
      <c r="C48" s="41"/>
      <c r="D48" s="41"/>
      <c r="E48" s="41"/>
      <c r="F48" s="41"/>
      <c r="G48" s="162"/>
      <c r="H48" s="41"/>
      <c r="I48" s="41"/>
      <c r="J48" s="41"/>
      <c r="K48" s="41"/>
    </row>
    <row r="49" spans="2:11" x14ac:dyDescent="0.25">
      <c r="B49" s="22"/>
      <c r="C49" s="28"/>
      <c r="D49" s="28"/>
      <c r="E49" s="28"/>
      <c r="F49" s="28"/>
      <c r="G49" s="154"/>
      <c r="H49" s="166"/>
      <c r="I49" s="28"/>
      <c r="J49" s="41"/>
      <c r="K49" s="28"/>
    </row>
  </sheetData>
  <pageMargins left="0.7" right="0.7" top="0.75" bottom="0.75" header="0.3" footer="0.3"/>
  <pageSetup scale="72" orientation="landscape" verticalDpi="597" r:id="rId1"/>
  <drawing r:id="rId2"/>
  <legacyDrawing r:id="rId3"/>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9">
    <pageSetUpPr fitToPage="1"/>
  </sheetPr>
  <dimension ref="A6:Y47"/>
  <sheetViews>
    <sheetView zoomScale="90" zoomScaleNormal="90" workbookViewId="0"/>
  </sheetViews>
  <sheetFormatPr defaultRowHeight="15" x14ac:dyDescent="0.25"/>
  <cols>
    <col min="1" max="1" width="7.140625" customWidth="1"/>
    <col min="2" max="2" width="11.140625" customWidth="1"/>
    <col min="3" max="3" width="6.42578125" customWidth="1"/>
    <col min="4" max="4" width="8.85546875" customWidth="1"/>
    <col min="5" max="5" width="8.140625" customWidth="1"/>
    <col min="6" max="6" width="8.85546875" customWidth="1"/>
    <col min="7" max="7" width="9.140625" style="155" customWidth="1"/>
    <col min="8" max="8" width="9.42578125" customWidth="1"/>
    <col min="10" max="10" width="7.7109375" customWidth="1"/>
    <col min="12" max="12" width="11" customWidth="1"/>
    <col min="13" max="13" width="6.7109375" style="177" customWidth="1"/>
    <col min="14" max="14" width="10.28515625" style="178" customWidth="1"/>
    <col min="15" max="15" width="9.140625" style="178"/>
    <col min="22" max="22" width="13.28515625" bestFit="1" customWidth="1"/>
    <col min="25" max="25" width="11.28515625" bestFit="1" customWidth="1"/>
  </cols>
  <sheetData>
    <row r="6" spans="1:15" x14ac:dyDescent="0.25">
      <c r="A6" s="7" t="s">
        <v>12</v>
      </c>
      <c r="B6" s="28"/>
      <c r="C6" s="28"/>
      <c r="D6" s="28"/>
      <c r="E6" s="28"/>
      <c r="F6" s="28"/>
      <c r="G6" s="154"/>
      <c r="H6" s="28"/>
      <c r="I6" s="169"/>
      <c r="J6" s="28"/>
      <c r="K6" s="28"/>
      <c r="L6" s="28"/>
      <c r="M6" s="176"/>
      <c r="N6" s="169"/>
      <c r="O6" s="169"/>
    </row>
    <row r="7" spans="1:15" x14ac:dyDescent="0.25">
      <c r="A7" s="30" t="s">
        <v>13</v>
      </c>
      <c r="B7" s="128">
        <v>41435</v>
      </c>
    </row>
    <row r="8" spans="1:15" x14ac:dyDescent="0.25">
      <c r="A8" s="28" t="s">
        <v>14</v>
      </c>
      <c r="B8" s="169" t="s">
        <v>548</v>
      </c>
      <c r="C8" s="28"/>
      <c r="D8" s="28"/>
      <c r="E8" s="28"/>
      <c r="F8" s="28"/>
      <c r="G8" s="154"/>
      <c r="H8" s="28"/>
      <c r="I8" s="169"/>
      <c r="J8" s="28"/>
      <c r="K8" s="28" t="s">
        <v>34</v>
      </c>
      <c r="L8" s="28" t="s">
        <v>34</v>
      </c>
      <c r="M8" s="176"/>
      <c r="N8" s="169"/>
    </row>
    <row r="9" spans="1:15" x14ac:dyDescent="0.25">
      <c r="A9" s="28" t="s">
        <v>15</v>
      </c>
      <c r="B9" s="169">
        <v>9</v>
      </c>
      <c r="C9" s="28" t="s">
        <v>530</v>
      </c>
      <c r="D9" s="28"/>
      <c r="E9" s="28"/>
      <c r="F9" s="28"/>
      <c r="G9" s="154"/>
      <c r="H9" s="28"/>
      <c r="I9" s="169"/>
      <c r="J9" s="28"/>
      <c r="K9" s="28"/>
      <c r="L9" s="28"/>
      <c r="M9" s="176"/>
      <c r="N9" s="169"/>
    </row>
    <row r="10" spans="1:15" ht="15.75" x14ac:dyDescent="0.25">
      <c r="A10" s="28" t="s">
        <v>16</v>
      </c>
      <c r="B10">
        <v>2069</v>
      </c>
      <c r="C10" s="31" t="s">
        <v>725</v>
      </c>
      <c r="D10" s="28"/>
      <c r="E10" s="28"/>
      <c r="F10" s="28"/>
      <c r="G10" s="154"/>
      <c r="H10" s="28"/>
      <c r="I10" s="169" t="s">
        <v>34</v>
      </c>
      <c r="J10" s="28" t="s">
        <v>34</v>
      </c>
      <c r="K10" s="28" t="s">
        <v>34</v>
      </c>
      <c r="L10" s="28" t="s">
        <v>34</v>
      </c>
      <c r="M10" s="176" t="s">
        <v>34</v>
      </c>
      <c r="N10" s="169" t="s">
        <v>34</v>
      </c>
    </row>
    <row r="11" spans="1:15" x14ac:dyDescent="0.25">
      <c r="A11" s="28"/>
      <c r="B11" s="243">
        <v>1600000000</v>
      </c>
      <c r="C11" s="31" t="s">
        <v>717</v>
      </c>
      <c r="D11" s="28"/>
      <c r="E11" s="28"/>
      <c r="F11" s="28"/>
      <c r="G11" s="154"/>
      <c r="H11" s="28"/>
      <c r="I11" s="169"/>
      <c r="J11" s="28"/>
      <c r="K11" s="28" t="s">
        <v>34</v>
      </c>
      <c r="L11" s="28"/>
      <c r="M11" s="176"/>
      <c r="N11" s="169"/>
    </row>
    <row r="12" spans="1:15" x14ac:dyDescent="0.25">
      <c r="A12" s="28"/>
      <c r="B12">
        <v>105</v>
      </c>
      <c r="C12" s="31" t="s">
        <v>731</v>
      </c>
      <c r="D12" s="28"/>
      <c r="E12" s="28"/>
      <c r="F12" s="28"/>
      <c r="G12" s="154"/>
      <c r="H12" s="28"/>
      <c r="I12" s="169"/>
      <c r="J12" s="28"/>
      <c r="K12" s="28"/>
      <c r="L12" s="28"/>
      <c r="M12" s="176"/>
      <c r="N12" s="169"/>
    </row>
    <row r="13" spans="1:15" x14ac:dyDescent="0.25">
      <c r="A13" s="28"/>
      <c r="B13" s="244">
        <v>6</v>
      </c>
      <c r="C13" s="28" t="s">
        <v>697</v>
      </c>
      <c r="D13" s="28"/>
      <c r="E13" s="28"/>
      <c r="F13" s="28"/>
      <c r="G13" s="154"/>
      <c r="H13" s="28"/>
      <c r="I13" s="251"/>
      <c r="J13" s="28"/>
      <c r="K13" s="28"/>
      <c r="L13" s="28"/>
      <c r="M13" s="176"/>
      <c r="N13" s="251"/>
    </row>
    <row r="14" spans="1:15" x14ac:dyDescent="0.25">
      <c r="A14" s="28"/>
      <c r="B14" s="244">
        <v>100</v>
      </c>
      <c r="C14" s="87" t="s">
        <v>696</v>
      </c>
      <c r="D14" s="28"/>
      <c r="E14" s="28"/>
      <c r="F14" s="28"/>
      <c r="G14" s="154"/>
      <c r="H14" s="28"/>
      <c r="I14" s="251"/>
      <c r="J14" s="28"/>
      <c r="K14" s="28"/>
      <c r="L14" s="28"/>
      <c r="M14" s="176"/>
      <c r="N14" s="251"/>
    </row>
    <row r="15" spans="1:15" x14ac:dyDescent="0.25">
      <c r="A15" s="28"/>
      <c r="B15" s="244">
        <v>0</v>
      </c>
      <c r="C15" s="87" t="s">
        <v>698</v>
      </c>
      <c r="D15" s="28"/>
      <c r="E15" s="28"/>
      <c r="F15" s="28"/>
      <c r="G15" s="154"/>
      <c r="H15" s="28"/>
      <c r="I15" s="251"/>
      <c r="J15" s="28"/>
      <c r="K15" s="28"/>
      <c r="L15" s="28"/>
      <c r="M15" s="176"/>
      <c r="N15" s="251"/>
    </row>
    <row r="16" spans="1:15" x14ac:dyDescent="0.25">
      <c r="A16" s="28"/>
      <c r="B16" s="245">
        <f>(B12*B13/100*1000)/(B10+B12-B14+B15)*1000</f>
        <v>3037.6084860173573</v>
      </c>
      <c r="C16" s="28" t="s">
        <v>700</v>
      </c>
      <c r="D16" s="28"/>
      <c r="E16" s="28"/>
      <c r="F16" s="28"/>
      <c r="G16" s="154"/>
      <c r="H16" s="28"/>
      <c r="I16" s="251"/>
      <c r="J16" s="28"/>
      <c r="K16" s="28"/>
      <c r="L16" s="28"/>
      <c r="M16" s="176"/>
      <c r="N16" s="251"/>
    </row>
    <row r="17" spans="1:25" ht="15.75" thickBot="1" x14ac:dyDescent="0.3">
      <c r="A17" s="28"/>
      <c r="B17" s="28" t="s">
        <v>647</v>
      </c>
      <c r="C17" s="28"/>
      <c r="D17" s="28"/>
      <c r="E17" s="28"/>
      <c r="F17" s="28"/>
      <c r="G17" s="154"/>
      <c r="H17" s="28"/>
      <c r="I17" s="169"/>
      <c r="J17" s="28"/>
      <c r="K17" s="28"/>
      <c r="L17" s="28"/>
      <c r="M17" s="176"/>
      <c r="N17" s="169"/>
      <c r="W17">
        <v>57.962629637229867</v>
      </c>
    </row>
    <row r="18" spans="1:25" ht="90" thickBot="1" x14ac:dyDescent="0.3">
      <c r="A18" s="10" t="s">
        <v>29</v>
      </c>
      <c r="B18" s="11" t="s">
        <v>17</v>
      </c>
      <c r="C18" s="11" t="s">
        <v>30</v>
      </c>
      <c r="D18" s="11" t="s">
        <v>31</v>
      </c>
      <c r="E18" s="11" t="s">
        <v>32</v>
      </c>
      <c r="F18" s="11" t="s">
        <v>33</v>
      </c>
      <c r="G18" s="161" t="s">
        <v>202</v>
      </c>
      <c r="H18" s="11" t="s">
        <v>19</v>
      </c>
      <c r="I18" s="12" t="s">
        <v>20</v>
      </c>
      <c r="J18" s="11" t="s">
        <v>21</v>
      </c>
      <c r="K18" s="13" t="s">
        <v>22</v>
      </c>
      <c r="L18" s="11" t="s">
        <v>21</v>
      </c>
      <c r="M18" s="156" t="s">
        <v>23</v>
      </c>
      <c r="N18" s="14" t="s">
        <v>24</v>
      </c>
      <c r="O18" s="14" t="s">
        <v>25</v>
      </c>
      <c r="P18" s="14" t="s">
        <v>678</v>
      </c>
      <c r="Q18" s="14" t="s">
        <v>681</v>
      </c>
      <c r="R18" s="14" t="s">
        <v>897</v>
      </c>
      <c r="S18" s="14" t="s">
        <v>729</v>
      </c>
      <c r="V18">
        <f>(6/0.000034505+0.04657)/3000</f>
        <v>57.962629637229867</v>
      </c>
    </row>
    <row r="19" spans="1:25" ht="15.75" thickBot="1" x14ac:dyDescent="0.3">
      <c r="A19" s="32">
        <v>0</v>
      </c>
      <c r="B19" s="91">
        <v>4.0999999999999996</v>
      </c>
      <c r="C19" s="173">
        <v>7.98</v>
      </c>
      <c r="D19" s="105">
        <v>7.54</v>
      </c>
      <c r="E19" s="91">
        <v>0.39</v>
      </c>
      <c r="F19" s="91">
        <v>0.14000000000000001</v>
      </c>
      <c r="G19" s="122">
        <v>208</v>
      </c>
      <c r="H19" s="122">
        <v>93</v>
      </c>
      <c r="I19" s="124">
        <v>28000000</v>
      </c>
      <c r="J19" s="125">
        <f t="shared" ref="J19:J25" si="0">LOG(I$19)-LOG(I19)</f>
        <v>0</v>
      </c>
      <c r="K19" s="124">
        <v>137000000</v>
      </c>
      <c r="L19" s="91" t="s">
        <v>26</v>
      </c>
      <c r="M19" s="119"/>
      <c r="N19" s="119"/>
      <c r="O19" s="60"/>
      <c r="P19" s="233">
        <f>B$16*A19</f>
        <v>0</v>
      </c>
      <c r="Q19" s="233">
        <f>6/LINEST($J19:$J25,$P19:$P25,FALSE)</f>
        <v>292374.97806154075</v>
      </c>
      <c r="R19" s="249">
        <f>Q19/3000</f>
        <v>97.458326020513582</v>
      </c>
      <c r="S19" s="249">
        <f>(J28/LINEST($J19:$J25,$P19:$P25,FALSE))/$B$16</f>
        <v>119.51252641593348</v>
      </c>
      <c r="Y19" s="255">
        <f>LINEST($J19:$J25,$P19:$P25,FALSE)</f>
        <v>2.0521591963102552E-5</v>
      </c>
    </row>
    <row r="20" spans="1:25" ht="15.75" thickBot="1" x14ac:dyDescent="0.3">
      <c r="A20" s="32">
        <v>5</v>
      </c>
      <c r="B20" s="103">
        <v>5.0999999999999996</v>
      </c>
      <c r="C20" s="174">
        <v>10.38</v>
      </c>
      <c r="D20" s="105">
        <v>10.7</v>
      </c>
      <c r="E20" s="58">
        <v>3200</v>
      </c>
      <c r="F20" s="58">
        <v>0.66</v>
      </c>
      <c r="G20" s="113">
        <v>196</v>
      </c>
      <c r="H20" s="113">
        <v>21</v>
      </c>
      <c r="I20" s="124">
        <v>34000000</v>
      </c>
      <c r="J20" s="125">
        <f t="shared" si="0"/>
        <v>-8.432088570003593E-2</v>
      </c>
      <c r="K20" s="124">
        <v>27400000</v>
      </c>
      <c r="L20" s="50">
        <f>LOG(K19)-LOG(K20)</f>
        <v>0.69897000433601963</v>
      </c>
      <c r="M20" s="121"/>
      <c r="N20" s="121"/>
      <c r="O20" s="60"/>
      <c r="P20" s="233">
        <f t="shared" ref="P20:P25" si="1">B$16*A20</f>
        <v>15188.042430086787</v>
      </c>
      <c r="Q20" s="225"/>
    </row>
    <row r="21" spans="1:25" ht="15.75" thickBot="1" x14ac:dyDescent="0.3">
      <c r="A21" s="32">
        <v>10</v>
      </c>
      <c r="B21" s="192">
        <v>5.0999999999999996</v>
      </c>
      <c r="C21" s="174">
        <v>10.38</v>
      </c>
      <c r="D21" s="212">
        <v>10.3</v>
      </c>
      <c r="E21" s="58">
        <v>3400</v>
      </c>
      <c r="F21" s="58">
        <v>0.45</v>
      </c>
      <c r="G21" s="113">
        <v>193</v>
      </c>
      <c r="H21" s="113"/>
      <c r="I21" s="124">
        <v>19400000</v>
      </c>
      <c r="J21" s="125">
        <f t="shared" si="0"/>
        <v>0.15935630141199297</v>
      </c>
      <c r="K21" s="124">
        <v>26700000</v>
      </c>
      <c r="L21" s="50">
        <f>LOG(K19)-LOG(K21)</f>
        <v>0.71020930579183261</v>
      </c>
      <c r="M21" s="121"/>
      <c r="N21" s="121"/>
      <c r="O21" s="60"/>
      <c r="P21" s="233">
        <f t="shared" si="1"/>
        <v>30376.084860173574</v>
      </c>
    </row>
    <row r="22" spans="1:25" ht="15.75" thickBot="1" x14ac:dyDescent="0.3">
      <c r="A22" s="32">
        <v>15</v>
      </c>
      <c r="B22" s="103">
        <v>5</v>
      </c>
      <c r="C22" s="174">
        <v>10.38</v>
      </c>
      <c r="D22" s="105">
        <v>10.37</v>
      </c>
      <c r="E22" s="58">
        <v>3400</v>
      </c>
      <c r="F22" s="58">
        <v>0.48</v>
      </c>
      <c r="G22" s="113">
        <v>191</v>
      </c>
      <c r="H22" s="113"/>
      <c r="I22" s="124">
        <v>1110000</v>
      </c>
      <c r="J22" s="125">
        <f t="shared" si="0"/>
        <v>1.4018350525555618</v>
      </c>
      <c r="K22" s="124">
        <v>20000000</v>
      </c>
      <c r="L22" s="50">
        <f>LOG(K19)-LOG(K22)</f>
        <v>0.83569057149242632</v>
      </c>
      <c r="M22" s="121"/>
      <c r="N22" s="121"/>
      <c r="O22" s="60"/>
      <c r="P22" s="233">
        <f t="shared" si="1"/>
        <v>45564.12729026036</v>
      </c>
    </row>
    <row r="23" spans="1:25" ht="15.75" thickBot="1" x14ac:dyDescent="0.3">
      <c r="A23" s="32">
        <v>30</v>
      </c>
      <c r="B23" s="103">
        <v>4.9000000000000004</v>
      </c>
      <c r="C23" s="174">
        <v>10.35</v>
      </c>
      <c r="D23" s="105">
        <v>10.43</v>
      </c>
      <c r="E23" s="58">
        <v>3400</v>
      </c>
      <c r="F23" s="58">
        <v>0.61</v>
      </c>
      <c r="G23" s="113">
        <v>184</v>
      </c>
      <c r="H23" s="113"/>
      <c r="I23" s="124">
        <v>163000</v>
      </c>
      <c r="J23" s="125">
        <f t="shared" si="0"/>
        <v>2.2349704269382613</v>
      </c>
      <c r="K23" s="124">
        <v>116000</v>
      </c>
      <c r="L23" s="50">
        <f>LOG(K19)-LOG(K23)</f>
        <v>3.0722625779294894</v>
      </c>
      <c r="M23" s="121"/>
      <c r="N23" s="121"/>
      <c r="O23" s="60"/>
      <c r="P23" s="233">
        <f t="shared" si="1"/>
        <v>91128.254580520719</v>
      </c>
    </row>
    <row r="24" spans="1:25" ht="15.75" thickBot="1" x14ac:dyDescent="0.3">
      <c r="A24" s="193">
        <v>60</v>
      </c>
      <c r="B24" s="103">
        <v>4.3</v>
      </c>
      <c r="C24" s="174">
        <v>10.33</v>
      </c>
      <c r="D24" s="105">
        <v>10.11</v>
      </c>
      <c r="E24" s="58">
        <v>3400</v>
      </c>
      <c r="F24" s="58">
        <v>0.51</v>
      </c>
      <c r="G24" s="113">
        <v>217</v>
      </c>
      <c r="H24" s="113"/>
      <c r="I24" s="124">
        <v>30</v>
      </c>
      <c r="J24" s="125">
        <f t="shared" si="0"/>
        <v>5.9700367766225568</v>
      </c>
      <c r="K24" s="124">
        <v>100</v>
      </c>
      <c r="L24" s="50">
        <f>LOG(K19)-LOG(K24)</f>
        <v>6.1367205671564076</v>
      </c>
      <c r="M24" s="121"/>
      <c r="N24" s="121"/>
      <c r="O24" s="89"/>
      <c r="P24" s="233">
        <f t="shared" si="1"/>
        <v>182256.50916104144</v>
      </c>
    </row>
    <row r="25" spans="1:25" ht="15.75" thickBot="1" x14ac:dyDescent="0.3">
      <c r="A25" s="32">
        <v>120</v>
      </c>
      <c r="B25" s="103">
        <v>3</v>
      </c>
      <c r="C25" s="174">
        <v>10.27</v>
      </c>
      <c r="D25" s="100">
        <v>10.36</v>
      </c>
      <c r="E25" s="58">
        <v>3400</v>
      </c>
      <c r="F25" s="58">
        <v>0.69</v>
      </c>
      <c r="G25" s="113">
        <v>213</v>
      </c>
      <c r="H25" s="113"/>
      <c r="I25" s="124">
        <v>15</v>
      </c>
      <c r="J25" s="125">
        <f t="shared" si="0"/>
        <v>6.2710667722865381</v>
      </c>
      <c r="K25" s="124">
        <v>0</v>
      </c>
      <c r="L25" s="50" t="s">
        <v>526</v>
      </c>
      <c r="M25" s="121"/>
      <c r="N25" s="121"/>
      <c r="O25" s="89"/>
      <c r="P25" s="233">
        <f t="shared" si="1"/>
        <v>364513.01832208288</v>
      </c>
    </row>
    <row r="26" spans="1:25" ht="15.75" thickBot="1" x14ac:dyDescent="0.3">
      <c r="A26" s="172">
        <v>180</v>
      </c>
      <c r="B26" s="111">
        <v>3.1</v>
      </c>
      <c r="C26" s="173">
        <v>10.27</v>
      </c>
      <c r="D26" s="105">
        <v>10.37</v>
      </c>
      <c r="E26" s="91">
        <v>3400</v>
      </c>
      <c r="F26" s="91">
        <v>0.66</v>
      </c>
      <c r="G26" s="122">
        <v>218</v>
      </c>
      <c r="H26" s="122">
        <v>35</v>
      </c>
      <c r="I26" s="124">
        <v>0</v>
      </c>
      <c r="J26" s="50" t="s">
        <v>551</v>
      </c>
      <c r="K26" s="124">
        <v>0</v>
      </c>
      <c r="L26" s="50" t="s">
        <v>526</v>
      </c>
      <c r="M26" s="121">
        <v>249</v>
      </c>
      <c r="N26" s="121">
        <v>8716</v>
      </c>
      <c r="O26" s="89"/>
    </row>
    <row r="27" spans="1:25" ht="15.75" thickBot="1" x14ac:dyDescent="0.3">
      <c r="A27" s="192" t="s">
        <v>550</v>
      </c>
      <c r="B27" s="111">
        <v>3.1</v>
      </c>
      <c r="C27" s="105">
        <v>10.27</v>
      </c>
      <c r="D27" s="105">
        <v>10.56</v>
      </c>
      <c r="E27" s="91">
        <v>3400</v>
      </c>
      <c r="F27" s="91">
        <v>0.61</v>
      </c>
      <c r="G27" s="122">
        <v>219</v>
      </c>
      <c r="H27" s="122">
        <v>20</v>
      </c>
      <c r="I27" s="124">
        <v>0</v>
      </c>
      <c r="J27" s="182" t="s">
        <v>551</v>
      </c>
      <c r="K27" s="124">
        <v>0</v>
      </c>
      <c r="L27" s="50" t="s">
        <v>526</v>
      </c>
      <c r="M27" s="121">
        <v>262</v>
      </c>
      <c r="N27" s="121">
        <v>7786</v>
      </c>
      <c r="O27" s="89">
        <v>3033</v>
      </c>
    </row>
    <row r="28" spans="1:25" x14ac:dyDescent="0.25">
      <c r="A28" s="142"/>
      <c r="B28" s="144">
        <f>AVERAGE(B20:B25)</f>
        <v>4.5666666666666673</v>
      </c>
      <c r="C28" s="144">
        <f>AVERAGE(C20:C25)</f>
        <v>10.348333333333334</v>
      </c>
      <c r="D28" s="144"/>
      <c r="E28" s="145"/>
      <c r="F28" s="145"/>
      <c r="G28" s="146"/>
      <c r="H28" s="146"/>
      <c r="I28" s="147"/>
      <c r="J28" s="148">
        <v>7.45</v>
      </c>
      <c r="K28" s="147"/>
      <c r="L28" s="149"/>
      <c r="M28" s="150"/>
      <c r="N28" s="150"/>
      <c r="O28" s="151"/>
    </row>
    <row r="29" spans="1:25" x14ac:dyDescent="0.25">
      <c r="A29" s="28" t="s">
        <v>140</v>
      </c>
      <c r="B29" s="28"/>
      <c r="C29" s="28"/>
      <c r="D29" s="28"/>
      <c r="E29" s="28"/>
      <c r="F29" s="28"/>
      <c r="G29" s="154"/>
      <c r="H29" s="28"/>
      <c r="I29" s="169"/>
      <c r="J29" s="115"/>
      <c r="K29" s="28"/>
      <c r="M29" s="176"/>
      <c r="N29" s="169"/>
    </row>
    <row r="30" spans="1:25" x14ac:dyDescent="0.25">
      <c r="A30" s="28"/>
      <c r="B30" s="28" t="s">
        <v>459</v>
      </c>
      <c r="C30" s="28"/>
      <c r="D30" s="28"/>
      <c r="E30" s="28"/>
      <c r="F30" s="28"/>
      <c r="G30" s="154"/>
      <c r="H30" s="28"/>
      <c r="I30" s="169"/>
      <c r="J30" s="28"/>
      <c r="K30" s="28" t="s">
        <v>34</v>
      </c>
      <c r="L30" s="28" t="s">
        <v>34</v>
      </c>
      <c r="M30" s="176" t="s">
        <v>34</v>
      </c>
      <c r="N30" s="169" t="s">
        <v>34</v>
      </c>
    </row>
    <row r="31" spans="1:25" x14ac:dyDescent="0.25">
      <c r="A31" s="28" t="s">
        <v>272</v>
      </c>
      <c r="B31" s="28"/>
      <c r="C31" s="28"/>
      <c r="D31" s="28"/>
      <c r="E31" s="28"/>
      <c r="F31" s="28"/>
      <c r="G31" s="154"/>
      <c r="H31" s="28"/>
      <c r="I31" s="169"/>
      <c r="J31" s="28"/>
      <c r="K31" s="28" t="s">
        <v>34</v>
      </c>
      <c r="L31" s="28" t="s">
        <v>34</v>
      </c>
      <c r="M31" s="176"/>
      <c r="N31" s="169"/>
    </row>
    <row r="32" spans="1:25" x14ac:dyDescent="0.25">
      <c r="A32" s="28"/>
      <c r="F32" s="28"/>
      <c r="G32" s="154"/>
      <c r="H32" s="28"/>
      <c r="I32" s="169"/>
      <c r="J32" s="28"/>
      <c r="K32" s="28" t="s">
        <v>34</v>
      </c>
      <c r="L32" s="28" t="s">
        <v>34</v>
      </c>
      <c r="M32" s="176" t="s">
        <v>34</v>
      </c>
      <c r="N32" s="169"/>
    </row>
    <row r="33" spans="1:16" x14ac:dyDescent="0.25">
      <c r="A33" s="28"/>
      <c r="F33" s="28"/>
      <c r="G33" s="154"/>
      <c r="H33" s="28"/>
      <c r="I33" s="169"/>
      <c r="J33" s="28"/>
      <c r="K33" s="28"/>
      <c r="L33" s="28"/>
      <c r="M33" s="176"/>
      <c r="N33" s="169"/>
    </row>
    <row r="34" spans="1:16" x14ac:dyDescent="0.25">
      <c r="A34" s="19" t="s">
        <v>28</v>
      </c>
      <c r="B34" s="28"/>
      <c r="C34" s="75"/>
      <c r="D34" s="75" t="s">
        <v>557</v>
      </c>
      <c r="E34" s="75"/>
      <c r="F34" s="75"/>
      <c r="G34" s="157"/>
      <c r="H34" s="75"/>
      <c r="I34" s="75"/>
      <c r="J34" s="75"/>
      <c r="K34" s="75"/>
      <c r="L34" s="75"/>
      <c r="M34" s="176"/>
      <c r="N34" s="169"/>
      <c r="O34" s="169"/>
      <c r="P34" s="75"/>
    </row>
    <row r="35" spans="1:16" x14ac:dyDescent="0.25">
      <c r="A35" s="28"/>
      <c r="B35" s="22"/>
      <c r="C35" s="171"/>
      <c r="D35" s="181" t="s">
        <v>558</v>
      </c>
      <c r="E35" s="171"/>
      <c r="F35" s="171"/>
      <c r="G35" s="158"/>
      <c r="H35" s="171"/>
      <c r="I35" s="171"/>
      <c r="J35" s="171"/>
      <c r="K35" s="171"/>
      <c r="L35" s="171"/>
      <c r="M35" s="176"/>
      <c r="N35" s="169"/>
    </row>
    <row r="36" spans="1:16" x14ac:dyDescent="0.25">
      <c r="A36" s="28"/>
      <c r="B36" s="41"/>
      <c r="C36" s="164"/>
      <c r="D36" s="164" t="s">
        <v>559</v>
      </c>
      <c r="E36" s="41"/>
      <c r="F36" s="41"/>
      <c r="G36" s="162"/>
      <c r="H36" s="41"/>
      <c r="I36" s="41"/>
      <c r="J36" s="41"/>
      <c r="K36" s="41"/>
      <c r="L36" s="41"/>
      <c r="M36" s="176"/>
      <c r="N36" s="169"/>
    </row>
    <row r="37" spans="1:16" x14ac:dyDescent="0.25">
      <c r="A37" s="28"/>
      <c r="B37" s="41"/>
      <c r="C37" s="164"/>
      <c r="D37" s="164" t="s">
        <v>561</v>
      </c>
      <c r="E37" s="41"/>
      <c r="F37" s="41"/>
      <c r="G37" s="162"/>
      <c r="H37" s="41"/>
      <c r="I37" s="41"/>
      <c r="J37" s="41"/>
      <c r="K37" s="41"/>
      <c r="L37" s="41"/>
      <c r="M37" s="176"/>
      <c r="N37" s="169"/>
    </row>
    <row r="38" spans="1:16" x14ac:dyDescent="0.25">
      <c r="B38" s="170"/>
      <c r="C38" s="170"/>
      <c r="D38" s="165" t="s">
        <v>563</v>
      </c>
      <c r="E38" s="170"/>
      <c r="F38" s="170"/>
      <c r="G38" s="159"/>
      <c r="H38" s="170"/>
      <c r="I38" s="170"/>
      <c r="J38" s="170"/>
      <c r="K38" s="170"/>
      <c r="L38" s="170"/>
      <c r="M38" s="179"/>
      <c r="N38" s="180"/>
    </row>
    <row r="39" spans="1:16" x14ac:dyDescent="0.25">
      <c r="B39" s="41"/>
      <c r="C39" s="64"/>
      <c r="D39" s="64"/>
      <c r="E39" s="64"/>
      <c r="F39" s="64"/>
      <c r="G39" s="163"/>
      <c r="H39" s="64"/>
      <c r="I39" s="64"/>
      <c r="J39" s="64"/>
      <c r="K39" s="64"/>
      <c r="L39" s="65"/>
    </row>
    <row r="40" spans="1:16" x14ac:dyDescent="0.25">
      <c r="B40" s="22"/>
    </row>
    <row r="41" spans="1:16" x14ac:dyDescent="0.25">
      <c r="B41" s="22"/>
    </row>
    <row r="42" spans="1:16" x14ac:dyDescent="0.25">
      <c r="B42" s="22"/>
      <c r="C42" s="28"/>
      <c r="D42" s="28"/>
      <c r="E42" s="28"/>
      <c r="F42" s="28"/>
      <c r="G42" s="154"/>
      <c r="H42" s="28"/>
      <c r="I42" s="169"/>
      <c r="J42" s="28"/>
    </row>
    <row r="43" spans="1:16" x14ac:dyDescent="0.25">
      <c r="B43" s="22"/>
    </row>
    <row r="45" spans="1:16" x14ac:dyDescent="0.25">
      <c r="B45" s="41"/>
      <c r="C45" s="41"/>
      <c r="D45" s="41"/>
      <c r="E45" s="41"/>
      <c r="F45" s="41"/>
      <c r="G45" s="162"/>
      <c r="H45" s="41"/>
      <c r="I45" s="41"/>
      <c r="J45" s="41"/>
      <c r="K45" s="41"/>
    </row>
    <row r="46" spans="1:16" x14ac:dyDescent="0.25">
      <c r="B46" s="41"/>
      <c r="C46" s="41"/>
      <c r="D46" s="41"/>
      <c r="E46" s="41"/>
      <c r="F46" s="41"/>
      <c r="G46" s="162"/>
      <c r="H46" s="41"/>
      <c r="I46" s="41"/>
      <c r="J46" s="41"/>
      <c r="K46" s="41"/>
    </row>
    <row r="47" spans="1:16" x14ac:dyDescent="0.25">
      <c r="B47" s="22"/>
      <c r="C47" s="28"/>
      <c r="D47" s="28"/>
      <c r="E47" s="28"/>
      <c r="F47" s="28"/>
      <c r="G47" s="154"/>
      <c r="H47" s="169"/>
      <c r="I47" s="28"/>
      <c r="J47" s="41"/>
      <c r="K47" s="28"/>
    </row>
  </sheetData>
  <pageMargins left="0.7" right="0.7" top="0.75" bottom="0.75" header="0.3" footer="0.3"/>
  <pageSetup scale="53" orientation="landscape" verticalDpi="597"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7"/>
  <sheetViews>
    <sheetView zoomScale="90" zoomScaleNormal="90" workbookViewId="0">
      <selection sqref="A1:E1"/>
    </sheetView>
  </sheetViews>
  <sheetFormatPr defaultRowHeight="12.75" x14ac:dyDescent="0.2"/>
  <cols>
    <col min="1" max="1" width="23.5703125" style="1" customWidth="1"/>
    <col min="2" max="2" width="11.42578125" style="1" customWidth="1"/>
    <col min="3" max="3" width="13.85546875" style="3" customWidth="1"/>
    <col min="4" max="4" width="7.85546875" style="2" customWidth="1"/>
    <col min="5" max="5" width="5" style="1" bestFit="1" customWidth="1"/>
    <col min="6" max="6" width="7.7109375" style="1" customWidth="1"/>
    <col min="7" max="7" width="9.5703125" style="1" customWidth="1"/>
    <col min="8" max="8" width="14.28515625" style="1" customWidth="1"/>
    <col min="9" max="9" width="8.140625" style="1" customWidth="1"/>
    <col min="10" max="10" width="7.42578125" style="1" customWidth="1"/>
    <col min="11" max="11" width="9.5703125" style="1" bestFit="1" customWidth="1"/>
    <col min="12" max="16384" width="9.140625" style="1"/>
  </cols>
  <sheetData>
    <row r="1" spans="1:10" x14ac:dyDescent="0.2">
      <c r="A1" s="426" t="s">
        <v>0</v>
      </c>
      <c r="B1" s="426"/>
      <c r="C1" s="426"/>
      <c r="D1" s="426"/>
      <c r="E1" s="426"/>
    </row>
    <row r="2" spans="1:10" x14ac:dyDescent="0.2">
      <c r="A2" s="2"/>
      <c r="B2" s="2"/>
      <c r="E2" s="2"/>
    </row>
    <row r="3" spans="1:10" s="3" customFormat="1" ht="28.5" x14ac:dyDescent="0.2">
      <c r="A3" s="54" t="s">
        <v>1</v>
      </c>
      <c r="B3" s="53" t="s">
        <v>2</v>
      </c>
      <c r="C3" s="53" t="s">
        <v>3</v>
      </c>
      <c r="D3" s="53" t="s">
        <v>4</v>
      </c>
      <c r="E3" s="55" t="s">
        <v>5</v>
      </c>
      <c r="F3" s="53" t="s">
        <v>6</v>
      </c>
      <c r="G3" s="53" t="s">
        <v>7</v>
      </c>
      <c r="H3" s="53" t="s">
        <v>8</v>
      </c>
      <c r="I3" s="53" t="s">
        <v>9</v>
      </c>
      <c r="J3" s="53" t="s">
        <v>10</v>
      </c>
    </row>
    <row r="4" spans="1:10" x14ac:dyDescent="0.2">
      <c r="A4" s="52"/>
      <c r="B4" s="56"/>
      <c r="C4" s="56"/>
      <c r="D4" s="52"/>
      <c r="E4" s="52"/>
      <c r="F4" s="52"/>
      <c r="G4" s="52"/>
      <c r="H4" s="52"/>
      <c r="I4" s="52"/>
      <c r="J4" s="421"/>
    </row>
    <row r="5" spans="1:10" x14ac:dyDescent="0.2">
      <c r="A5" s="52" t="s">
        <v>138</v>
      </c>
      <c r="B5" s="95">
        <v>40835</v>
      </c>
      <c r="C5" s="57" t="s">
        <v>42</v>
      </c>
      <c r="D5" s="52" t="s">
        <v>57</v>
      </c>
      <c r="E5" s="52">
        <v>9.26</v>
      </c>
      <c r="F5" s="52">
        <v>4260</v>
      </c>
      <c r="G5" s="52">
        <v>650</v>
      </c>
      <c r="H5" s="52">
        <v>4590</v>
      </c>
      <c r="I5" s="52">
        <v>567</v>
      </c>
      <c r="J5" s="52">
        <v>8758</v>
      </c>
    </row>
    <row r="6" spans="1:10" x14ac:dyDescent="0.2">
      <c r="A6" s="52" t="s">
        <v>139</v>
      </c>
      <c r="B6" s="95">
        <v>40835</v>
      </c>
      <c r="C6" s="57" t="s">
        <v>42</v>
      </c>
      <c r="D6" s="52">
        <v>0.43</v>
      </c>
      <c r="E6" s="52">
        <v>9.1</v>
      </c>
      <c r="F6" s="66">
        <v>3070</v>
      </c>
      <c r="G6" s="52">
        <v>13</v>
      </c>
      <c r="H6" s="52">
        <v>4195</v>
      </c>
      <c r="I6" s="66">
        <v>72.5</v>
      </c>
      <c r="J6" s="52">
        <v>8409.6</v>
      </c>
    </row>
    <row r="7" spans="1:10" x14ac:dyDescent="0.2">
      <c r="A7" s="84" t="s">
        <v>190</v>
      </c>
      <c r="B7" s="95">
        <v>40956</v>
      </c>
      <c r="C7" s="52" t="s">
        <v>191</v>
      </c>
      <c r="D7" s="52">
        <v>0.9</v>
      </c>
      <c r="E7" s="52">
        <v>7.71</v>
      </c>
      <c r="F7" s="52">
        <v>191</v>
      </c>
      <c r="G7" s="52">
        <v>283</v>
      </c>
      <c r="H7" s="52" t="s">
        <v>35</v>
      </c>
      <c r="I7" s="52">
        <v>249</v>
      </c>
      <c r="J7" s="52">
        <v>65</v>
      </c>
    </row>
    <row r="8" spans="1:10" x14ac:dyDescent="0.2">
      <c r="A8" s="84" t="s">
        <v>238</v>
      </c>
      <c r="B8" s="95">
        <v>40984</v>
      </c>
      <c r="C8" s="52" t="s">
        <v>239</v>
      </c>
      <c r="D8" s="52">
        <v>0</v>
      </c>
      <c r="E8" s="52">
        <v>8.4499999999999993</v>
      </c>
      <c r="F8" s="52">
        <v>6480</v>
      </c>
      <c r="G8" s="52">
        <v>220</v>
      </c>
      <c r="H8" s="66">
        <v>185</v>
      </c>
      <c r="I8" s="52">
        <v>345</v>
      </c>
      <c r="J8" s="52">
        <v>390</v>
      </c>
    </row>
    <row r="9" spans="1:10" x14ac:dyDescent="0.2">
      <c r="A9" s="84" t="s">
        <v>386</v>
      </c>
      <c r="B9" s="95">
        <v>40994</v>
      </c>
      <c r="C9" s="52" t="s">
        <v>42</v>
      </c>
      <c r="D9" s="52">
        <v>0</v>
      </c>
      <c r="E9" s="52">
        <v>9.16</v>
      </c>
      <c r="F9" s="52">
        <v>3000</v>
      </c>
      <c r="G9" s="52">
        <v>600</v>
      </c>
      <c r="H9" s="52">
        <v>4473</v>
      </c>
      <c r="I9" s="52">
        <v>540</v>
      </c>
      <c r="J9" s="66" t="s">
        <v>35</v>
      </c>
    </row>
    <row r="10" spans="1:10" x14ac:dyDescent="0.2">
      <c r="A10" s="84" t="s">
        <v>510</v>
      </c>
      <c r="B10" s="95">
        <v>41360</v>
      </c>
      <c r="C10" s="52" t="s">
        <v>42</v>
      </c>
      <c r="D10" s="52">
        <v>0</v>
      </c>
      <c r="E10" s="52">
        <v>9.3000000000000007</v>
      </c>
      <c r="F10" s="52">
        <v>3525</v>
      </c>
      <c r="G10" s="52">
        <v>60.1</v>
      </c>
      <c r="H10" s="52">
        <v>4030</v>
      </c>
      <c r="I10" s="52">
        <v>96</v>
      </c>
      <c r="J10" s="66">
        <v>4186</v>
      </c>
    </row>
    <row r="11" spans="1:10" s="4" customFormat="1" x14ac:dyDescent="0.2">
      <c r="A11" s="67" t="s">
        <v>541</v>
      </c>
      <c r="B11" s="96">
        <v>41414</v>
      </c>
      <c r="C11" s="74" t="s">
        <v>191</v>
      </c>
      <c r="D11" s="74">
        <v>0.78</v>
      </c>
      <c r="E11" s="74">
        <v>7.19</v>
      </c>
      <c r="F11" s="74">
        <v>90.5</v>
      </c>
      <c r="G11" s="74">
        <v>152</v>
      </c>
      <c r="H11" s="74">
        <v>80</v>
      </c>
      <c r="I11" s="74">
        <v>285</v>
      </c>
      <c r="J11" s="97">
        <v>6185</v>
      </c>
    </row>
    <row r="12" spans="1:10" x14ac:dyDescent="0.2">
      <c r="A12" s="4"/>
      <c r="B12" s="5"/>
      <c r="C12" s="40"/>
      <c r="D12" s="6"/>
      <c r="E12" s="4"/>
      <c r="F12" s="4"/>
      <c r="G12" s="4"/>
      <c r="H12" s="4"/>
      <c r="I12" s="4"/>
      <c r="J12" s="4"/>
    </row>
    <row r="13" spans="1:10" x14ac:dyDescent="0.2">
      <c r="A13" s="1" t="s">
        <v>11</v>
      </c>
      <c r="J13" s="4"/>
    </row>
    <row r="14" spans="1:10" x14ac:dyDescent="0.2">
      <c r="A14" s="4"/>
      <c r="B14" s="5"/>
      <c r="C14" s="85"/>
      <c r="D14" s="6"/>
      <c r="E14" s="4"/>
      <c r="F14" s="4"/>
      <c r="G14" s="4"/>
      <c r="H14" s="4"/>
      <c r="I14" s="4"/>
      <c r="J14" s="4"/>
    </row>
    <row r="15" spans="1:10" x14ac:dyDescent="0.2">
      <c r="A15" s="4"/>
      <c r="B15" s="5"/>
      <c r="C15" s="40"/>
      <c r="D15" s="6"/>
      <c r="E15" s="4"/>
      <c r="F15" s="4"/>
      <c r="G15" s="4"/>
      <c r="H15" s="4"/>
      <c r="I15" s="4"/>
      <c r="J15" s="4"/>
    </row>
    <row r="16" spans="1:10" x14ac:dyDescent="0.2">
      <c r="A16" s="4"/>
      <c r="B16" s="5"/>
      <c r="C16" s="39"/>
      <c r="D16" s="6"/>
      <c r="E16" s="4"/>
      <c r="F16" s="4"/>
      <c r="G16" s="4"/>
      <c r="H16" s="4"/>
      <c r="I16" s="4"/>
      <c r="J16" s="4"/>
    </row>
    <row r="17" spans="1:10" x14ac:dyDescent="0.2">
      <c r="A17" s="4"/>
      <c r="B17" s="5"/>
      <c r="C17" s="39"/>
      <c r="D17" s="6"/>
      <c r="E17" s="4"/>
      <c r="F17" s="4"/>
      <c r="G17" s="4"/>
      <c r="H17" s="4"/>
      <c r="I17" s="4"/>
      <c r="J17" s="4"/>
    </row>
  </sheetData>
  <mergeCells count="1">
    <mergeCell ref="A1:E1"/>
  </mergeCells>
  <phoneticPr fontId="0" type="noConversion"/>
  <pageMargins left="0.75" right="0.75" top="1" bottom="1" header="0.5" footer="0.5"/>
  <pageSetup scale="87" orientation="landscape" r:id="rId1"/>
  <headerFooter alignWithMargins="0"/>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0">
    <pageSetUpPr fitToPage="1"/>
  </sheetPr>
  <dimension ref="A6:S47"/>
  <sheetViews>
    <sheetView zoomScale="90" zoomScaleNormal="90" workbookViewId="0"/>
  </sheetViews>
  <sheetFormatPr defaultRowHeight="15" x14ac:dyDescent="0.25"/>
  <cols>
    <col min="1" max="1" width="7.140625" customWidth="1"/>
    <col min="2" max="2" width="11.140625" customWidth="1"/>
    <col min="3" max="3" width="6.42578125" customWidth="1"/>
    <col min="4" max="4" width="8.85546875" customWidth="1"/>
    <col min="5" max="5" width="8.140625" customWidth="1"/>
    <col min="6" max="6" width="8.85546875" customWidth="1"/>
    <col min="7" max="7" width="9.140625" style="155" customWidth="1"/>
    <col min="8" max="8" width="9.42578125" customWidth="1"/>
    <col min="10" max="10" width="7.7109375" customWidth="1"/>
    <col min="12" max="12" width="11" customWidth="1"/>
    <col min="13" max="13" width="6.7109375" style="177" customWidth="1"/>
    <col min="14" max="14" width="10.28515625" style="178" customWidth="1"/>
    <col min="15" max="15" width="9.140625" style="178"/>
  </cols>
  <sheetData>
    <row r="6" spans="1:15" x14ac:dyDescent="0.25">
      <c r="A6" s="7" t="s">
        <v>12</v>
      </c>
      <c r="B6" s="28"/>
      <c r="C6" s="28"/>
      <c r="D6" s="28"/>
      <c r="E6" s="28"/>
      <c r="F6" s="28"/>
      <c r="G6" s="154"/>
      <c r="H6" s="28"/>
      <c r="I6" s="169"/>
      <c r="J6" s="28"/>
      <c r="K6" s="28"/>
      <c r="L6" s="28"/>
      <c r="M6" s="176"/>
      <c r="N6" s="169"/>
      <c r="O6" s="169"/>
    </row>
    <row r="7" spans="1:15" x14ac:dyDescent="0.25">
      <c r="A7" s="30" t="s">
        <v>13</v>
      </c>
      <c r="B7" s="128">
        <v>41435</v>
      </c>
    </row>
    <row r="8" spans="1:15" x14ac:dyDescent="0.25">
      <c r="A8" s="28" t="s">
        <v>14</v>
      </c>
      <c r="B8" s="169" t="s">
        <v>549</v>
      </c>
      <c r="C8" s="28"/>
      <c r="D8" s="28"/>
      <c r="E8" s="28"/>
      <c r="F8" s="28"/>
      <c r="G8" s="154"/>
      <c r="H8" s="28"/>
      <c r="I8" s="169"/>
      <c r="J8" s="28"/>
      <c r="K8" s="28" t="s">
        <v>34</v>
      </c>
      <c r="L8" s="28" t="s">
        <v>34</v>
      </c>
      <c r="M8" s="176"/>
      <c r="N8" s="169"/>
    </row>
    <row r="9" spans="1:15" x14ac:dyDescent="0.25">
      <c r="A9" s="28" t="s">
        <v>15</v>
      </c>
      <c r="B9" s="169">
        <v>9</v>
      </c>
      <c r="C9" s="28" t="s">
        <v>530</v>
      </c>
      <c r="D9" s="28"/>
      <c r="E9" s="28"/>
      <c r="F9" s="28"/>
      <c r="G9" s="154"/>
      <c r="H9" s="28"/>
      <c r="I9" s="169"/>
      <c r="J9" s="28"/>
      <c r="K9" s="28"/>
      <c r="L9" s="28"/>
      <c r="M9" s="176"/>
      <c r="N9" s="169"/>
    </row>
    <row r="10" spans="1:15" ht="15.75" x14ac:dyDescent="0.25">
      <c r="A10" s="28" t="s">
        <v>16</v>
      </c>
      <c r="B10">
        <v>2069</v>
      </c>
      <c r="C10" s="31" t="s">
        <v>725</v>
      </c>
      <c r="D10" s="28"/>
      <c r="E10" s="28"/>
      <c r="F10" s="28"/>
      <c r="G10" s="154"/>
      <c r="H10" s="28"/>
      <c r="I10" s="169" t="s">
        <v>34</v>
      </c>
      <c r="J10" s="28" t="s">
        <v>34</v>
      </c>
      <c r="K10" s="28" t="s">
        <v>34</v>
      </c>
      <c r="L10" s="28" t="s">
        <v>34</v>
      </c>
      <c r="M10" s="176" t="s">
        <v>34</v>
      </c>
      <c r="N10" s="169" t="s">
        <v>34</v>
      </c>
    </row>
    <row r="11" spans="1:15" x14ac:dyDescent="0.25">
      <c r="A11" s="28"/>
      <c r="B11" s="243">
        <v>1600000000</v>
      </c>
      <c r="C11" s="31" t="s">
        <v>717</v>
      </c>
      <c r="D11" s="28"/>
      <c r="E11" s="28"/>
      <c r="F11" s="28"/>
      <c r="G11" s="154"/>
      <c r="H11" s="28"/>
      <c r="I11" s="169"/>
      <c r="J11" s="28"/>
      <c r="K11" s="28" t="s">
        <v>34</v>
      </c>
      <c r="L11" s="28"/>
      <c r="M11" s="176"/>
      <c r="N11" s="169"/>
    </row>
    <row r="12" spans="1:15" x14ac:dyDescent="0.25">
      <c r="A12" s="28"/>
      <c r="B12">
        <v>105</v>
      </c>
      <c r="C12" s="31" t="s">
        <v>731</v>
      </c>
      <c r="D12" s="28"/>
      <c r="E12" s="28"/>
      <c r="F12" s="28"/>
      <c r="G12" s="154"/>
      <c r="H12" s="28"/>
      <c r="I12" s="169"/>
      <c r="J12" s="28"/>
      <c r="K12" s="28"/>
      <c r="L12" s="28"/>
      <c r="M12" s="176"/>
      <c r="N12" s="169"/>
    </row>
    <row r="13" spans="1:15" x14ac:dyDescent="0.25">
      <c r="A13" s="28"/>
      <c r="B13" s="244">
        <v>6</v>
      </c>
      <c r="C13" s="28" t="s">
        <v>697</v>
      </c>
      <c r="D13" s="28"/>
      <c r="E13" s="28"/>
      <c r="F13" s="28"/>
      <c r="G13" s="154"/>
      <c r="H13" s="28"/>
      <c r="I13" s="251"/>
      <c r="J13" s="28"/>
      <c r="K13" s="28"/>
      <c r="L13" s="28"/>
      <c r="M13" s="176"/>
      <c r="N13" s="251"/>
    </row>
    <row r="14" spans="1:15" x14ac:dyDescent="0.25">
      <c r="A14" s="28"/>
      <c r="B14" s="244">
        <v>100</v>
      </c>
      <c r="C14" s="87" t="s">
        <v>696</v>
      </c>
      <c r="D14" s="28"/>
      <c r="E14" s="28"/>
      <c r="F14" s="28"/>
      <c r="G14" s="154"/>
      <c r="H14" s="28"/>
      <c r="I14" s="251"/>
      <c r="J14" s="28"/>
      <c r="K14" s="28"/>
      <c r="L14" s="28"/>
      <c r="M14" s="176"/>
      <c r="N14" s="251"/>
    </row>
    <row r="15" spans="1:15" x14ac:dyDescent="0.25">
      <c r="A15" s="28"/>
      <c r="B15" s="244">
        <v>0</v>
      </c>
      <c r="C15" s="87" t="s">
        <v>698</v>
      </c>
      <c r="D15" s="28"/>
      <c r="E15" s="28"/>
      <c r="F15" s="28"/>
      <c r="G15" s="154"/>
      <c r="H15" s="28"/>
      <c r="I15" s="251"/>
      <c r="J15" s="28"/>
      <c r="K15" s="28"/>
      <c r="L15" s="28"/>
      <c r="M15" s="176"/>
      <c r="N15" s="251"/>
    </row>
    <row r="16" spans="1:15" x14ac:dyDescent="0.25">
      <c r="A16" s="28"/>
      <c r="B16" s="245">
        <f>(B12*B13/100*1000)/(B10+B12-B14+B15)*1000</f>
        <v>3037.6084860173573</v>
      </c>
      <c r="C16" s="28" t="s">
        <v>700</v>
      </c>
      <c r="D16" s="28"/>
      <c r="E16" s="28"/>
      <c r="F16" s="28"/>
      <c r="G16" s="154"/>
      <c r="H16" s="28"/>
      <c r="I16" s="251"/>
      <c r="J16" s="28"/>
      <c r="K16" s="28"/>
      <c r="L16" s="28"/>
      <c r="M16" s="176"/>
      <c r="N16" s="251"/>
    </row>
    <row r="17" spans="1:19" ht="15.75" thickBot="1" x14ac:dyDescent="0.3">
      <c r="A17" s="28"/>
      <c r="B17" s="28" t="s">
        <v>647</v>
      </c>
      <c r="C17" s="28"/>
      <c r="D17" s="28"/>
      <c r="E17" s="28"/>
      <c r="F17" s="28"/>
      <c r="G17" s="154"/>
      <c r="H17" s="28"/>
      <c r="I17" s="169"/>
      <c r="J17" s="28"/>
      <c r="K17" s="28"/>
      <c r="L17" s="28"/>
      <c r="M17" s="176"/>
      <c r="N17" s="169"/>
    </row>
    <row r="18" spans="1:19" ht="90" thickBot="1" x14ac:dyDescent="0.3">
      <c r="A18" s="10" t="s">
        <v>29</v>
      </c>
      <c r="B18" s="11" t="s">
        <v>17</v>
      </c>
      <c r="C18" s="11" t="s">
        <v>30</v>
      </c>
      <c r="D18" s="11" t="s">
        <v>31</v>
      </c>
      <c r="E18" s="11" t="s">
        <v>32</v>
      </c>
      <c r="F18" s="11" t="s">
        <v>33</v>
      </c>
      <c r="G18" s="161" t="s">
        <v>202</v>
      </c>
      <c r="H18" s="11" t="s">
        <v>19</v>
      </c>
      <c r="I18" s="12" t="s">
        <v>20</v>
      </c>
      <c r="J18" s="11" t="s">
        <v>21</v>
      </c>
      <c r="K18" s="13" t="s">
        <v>22</v>
      </c>
      <c r="L18" s="11" t="s">
        <v>21</v>
      </c>
      <c r="M18" s="156" t="s">
        <v>23</v>
      </c>
      <c r="N18" s="14" t="s">
        <v>24</v>
      </c>
      <c r="O18" s="14" t="s">
        <v>25</v>
      </c>
      <c r="P18" s="14" t="s">
        <v>678</v>
      </c>
      <c r="Q18" s="14" t="s">
        <v>681</v>
      </c>
      <c r="R18" s="14" t="s">
        <v>897</v>
      </c>
      <c r="S18" s="14" t="s">
        <v>729</v>
      </c>
    </row>
    <row r="19" spans="1:19" ht="15.75" thickBot="1" x14ac:dyDescent="0.3">
      <c r="A19" s="32">
        <v>0</v>
      </c>
      <c r="B19" s="91">
        <v>4.5</v>
      </c>
      <c r="C19" s="173">
        <v>7.51</v>
      </c>
      <c r="D19" s="105">
        <v>8.07</v>
      </c>
      <c r="E19" s="91">
        <v>0.65</v>
      </c>
      <c r="F19" s="91">
        <v>0.52</v>
      </c>
      <c r="G19" s="122">
        <v>202</v>
      </c>
      <c r="H19" s="122">
        <v>132</v>
      </c>
      <c r="I19" s="124">
        <v>260000000</v>
      </c>
      <c r="J19" s="125">
        <f t="shared" ref="J19:J24" si="0">LOG(I$19)-LOG(I19)</f>
        <v>0</v>
      </c>
      <c r="K19" s="124">
        <v>69700000</v>
      </c>
      <c r="L19" s="91" t="s">
        <v>26</v>
      </c>
      <c r="M19" s="119"/>
      <c r="N19" s="119"/>
      <c r="O19" s="60"/>
      <c r="P19" s="233">
        <f>B$16*A19</f>
        <v>0</v>
      </c>
      <c r="Q19" s="233">
        <f>6/LINEST($J19:$J24,$P19:$P24,FALSE)</f>
        <v>158022.3000417781</v>
      </c>
      <c r="R19" s="249">
        <f>Q19/3000</f>
        <v>52.674100013926036</v>
      </c>
      <c r="S19" s="249">
        <f>(J28/LINEST($J19:$J24,$P19:$P24,FALSE))/$B$16</f>
        <v>72.917425526738313</v>
      </c>
    </row>
    <row r="20" spans="1:19" ht="15.75" thickBot="1" x14ac:dyDescent="0.3">
      <c r="A20" s="32">
        <v>5</v>
      </c>
      <c r="B20" s="103">
        <v>4.9000000000000004</v>
      </c>
      <c r="C20" s="174">
        <v>9.91</v>
      </c>
      <c r="D20" s="105">
        <v>10.67</v>
      </c>
      <c r="E20" s="58">
        <v>3200</v>
      </c>
      <c r="F20" s="58">
        <v>0.33</v>
      </c>
      <c r="G20" s="113">
        <v>200</v>
      </c>
      <c r="H20" s="113">
        <v>34</v>
      </c>
      <c r="I20" s="124">
        <v>27500000</v>
      </c>
      <c r="J20" s="125">
        <f t="shared" si="0"/>
        <v>0.97564065414055534</v>
      </c>
      <c r="K20" s="124">
        <v>25700000</v>
      </c>
      <c r="L20" s="50">
        <f>LOG(K19)-LOG(K20)</f>
        <v>0.43329965476671539</v>
      </c>
      <c r="M20" s="121"/>
      <c r="N20" s="121"/>
      <c r="O20" s="60"/>
      <c r="P20" s="233">
        <f t="shared" ref="P20:P25" si="1">B$16*A20</f>
        <v>15188.042430086787</v>
      </c>
      <c r="Q20" s="225"/>
    </row>
    <row r="21" spans="1:19" ht="15.75" thickBot="1" x14ac:dyDescent="0.3">
      <c r="A21" s="32">
        <v>10</v>
      </c>
      <c r="B21" s="192">
        <v>5.2</v>
      </c>
      <c r="C21" s="174">
        <v>9.83</v>
      </c>
      <c r="D21" s="212">
        <v>10.7</v>
      </c>
      <c r="E21" s="58">
        <v>2800</v>
      </c>
      <c r="F21" s="100">
        <v>0.6</v>
      </c>
      <c r="G21" s="113">
        <v>206</v>
      </c>
      <c r="H21" s="113"/>
      <c r="I21" s="124">
        <v>17200000</v>
      </c>
      <c r="J21" s="125">
        <f t="shared" si="0"/>
        <v>1.1794449010632695</v>
      </c>
      <c r="K21" s="124">
        <v>18100000</v>
      </c>
      <c r="L21" s="50">
        <f>LOG(K19)-LOG(K21)</f>
        <v>0.58555420322882501</v>
      </c>
      <c r="M21" s="121"/>
      <c r="N21" s="121"/>
      <c r="O21" s="60"/>
      <c r="P21" s="233">
        <f t="shared" si="1"/>
        <v>30376.084860173574</v>
      </c>
    </row>
    <row r="22" spans="1:19" ht="15.75" thickBot="1" x14ac:dyDescent="0.3">
      <c r="A22" s="32">
        <v>15</v>
      </c>
      <c r="B22" s="103">
        <v>5.4</v>
      </c>
      <c r="C22" s="174">
        <v>10.14</v>
      </c>
      <c r="D22" s="105">
        <v>10.89</v>
      </c>
      <c r="E22" s="58">
        <v>3400</v>
      </c>
      <c r="F22" s="100">
        <v>0.4</v>
      </c>
      <c r="G22" s="113">
        <v>206</v>
      </c>
      <c r="H22" s="113"/>
      <c r="I22" s="124">
        <v>7150000</v>
      </c>
      <c r="J22" s="125">
        <f t="shared" si="0"/>
        <v>1.5606673061697371</v>
      </c>
      <c r="K22" s="124">
        <v>7410000</v>
      </c>
      <c r="L22" s="50">
        <f>LOG(K19)-LOG(K22)</f>
        <v>0.97341457011868116</v>
      </c>
      <c r="M22" s="121"/>
      <c r="N22" s="121"/>
      <c r="O22" s="60"/>
      <c r="P22" s="233">
        <f t="shared" si="1"/>
        <v>45564.12729026036</v>
      </c>
    </row>
    <row r="23" spans="1:19" ht="15.75" thickBot="1" x14ac:dyDescent="0.3">
      <c r="A23" s="32">
        <v>30</v>
      </c>
      <c r="B23" s="103">
        <v>5.3</v>
      </c>
      <c r="C23" s="174">
        <v>10.31</v>
      </c>
      <c r="D23" s="105">
        <v>11.02</v>
      </c>
      <c r="E23" s="58">
        <v>3400</v>
      </c>
      <c r="F23" s="58">
        <v>0.47</v>
      </c>
      <c r="G23" s="113">
        <v>175</v>
      </c>
      <c r="H23" s="113"/>
      <c r="I23" s="124">
        <v>140000</v>
      </c>
      <c r="J23" s="125">
        <f t="shared" si="0"/>
        <v>3.26884531229258</v>
      </c>
      <c r="K23" s="124">
        <v>173000</v>
      </c>
      <c r="L23" s="50">
        <f>LOG(K19)-LOG(K23)</f>
        <v>2.6051866749692145</v>
      </c>
      <c r="M23" s="121"/>
      <c r="N23" s="121"/>
      <c r="O23" s="60"/>
      <c r="P23" s="233">
        <f t="shared" si="1"/>
        <v>91128.254580520719</v>
      </c>
    </row>
    <row r="24" spans="1:19" ht="15.75" thickBot="1" x14ac:dyDescent="0.3">
      <c r="A24" s="193">
        <v>60</v>
      </c>
      <c r="B24" s="103">
        <v>4.7</v>
      </c>
      <c r="C24" s="174">
        <v>10.28</v>
      </c>
      <c r="D24" s="105">
        <v>11.27</v>
      </c>
      <c r="E24" s="58">
        <v>3200</v>
      </c>
      <c r="F24" s="58">
        <v>0.38</v>
      </c>
      <c r="G24" s="113">
        <v>171</v>
      </c>
      <c r="H24" s="113"/>
      <c r="I24" s="124">
        <v>24.8</v>
      </c>
      <c r="J24" s="125">
        <f t="shared" si="0"/>
        <v>7.0205216671446022</v>
      </c>
      <c r="K24" s="124">
        <v>6980</v>
      </c>
      <c r="L24" s="50">
        <f>LOG(K19)-LOG(K24)</f>
        <v>3.9993773554748486</v>
      </c>
      <c r="M24" s="121"/>
      <c r="N24" s="121"/>
      <c r="O24" s="89"/>
      <c r="P24" s="233">
        <f t="shared" si="1"/>
        <v>182256.50916104144</v>
      </c>
    </row>
    <row r="25" spans="1:19" ht="15.75" thickBot="1" x14ac:dyDescent="0.3">
      <c r="A25" s="32">
        <v>120</v>
      </c>
      <c r="B25" s="103">
        <v>3.8</v>
      </c>
      <c r="C25" s="174">
        <v>10.23</v>
      </c>
      <c r="D25" s="100">
        <v>11.27</v>
      </c>
      <c r="E25" s="58">
        <v>3400</v>
      </c>
      <c r="F25" s="58">
        <v>0.49</v>
      </c>
      <c r="G25" s="113">
        <v>175</v>
      </c>
      <c r="H25" s="113"/>
      <c r="I25" s="124">
        <v>0</v>
      </c>
      <c r="J25" s="50" t="s">
        <v>552</v>
      </c>
      <c r="K25" s="124">
        <v>0</v>
      </c>
      <c r="L25" s="50" t="s">
        <v>553</v>
      </c>
      <c r="M25" s="121"/>
      <c r="N25" s="121"/>
      <c r="O25" s="89"/>
      <c r="P25" s="233">
        <f t="shared" si="1"/>
        <v>364513.01832208288</v>
      </c>
    </row>
    <row r="26" spans="1:19" ht="15.75" thickBot="1" x14ac:dyDescent="0.3">
      <c r="A26" s="172">
        <v>180</v>
      </c>
      <c r="B26" s="111">
        <v>3.3</v>
      </c>
      <c r="C26" s="173">
        <v>10.19</v>
      </c>
      <c r="D26" s="105">
        <v>11.27</v>
      </c>
      <c r="E26" s="91">
        <v>3400</v>
      </c>
      <c r="F26" s="91">
        <v>0.66</v>
      </c>
      <c r="G26" s="122">
        <v>184</v>
      </c>
      <c r="H26" s="122">
        <v>34</v>
      </c>
      <c r="I26" s="124">
        <v>0.05</v>
      </c>
      <c r="J26" s="50">
        <f>LOG(I19)-LOG(I26)</f>
        <v>9.7160033436347994</v>
      </c>
      <c r="K26" s="124">
        <v>0</v>
      </c>
      <c r="L26" s="50" t="s">
        <v>553</v>
      </c>
      <c r="M26" s="121">
        <v>199</v>
      </c>
      <c r="N26" s="121">
        <v>7970</v>
      </c>
      <c r="O26" s="89"/>
    </row>
    <row r="27" spans="1:19" ht="15.75" thickBot="1" x14ac:dyDescent="0.3">
      <c r="A27" s="192" t="s">
        <v>550</v>
      </c>
      <c r="B27" s="111">
        <v>3.3</v>
      </c>
      <c r="C27" s="105">
        <v>10.19</v>
      </c>
      <c r="D27" s="105">
        <v>11.27</v>
      </c>
      <c r="E27" s="91">
        <v>3400</v>
      </c>
      <c r="F27" s="91">
        <v>0.54</v>
      </c>
      <c r="G27" s="122">
        <v>185</v>
      </c>
      <c r="H27" s="122">
        <v>14</v>
      </c>
      <c r="I27" s="124">
        <v>0.73</v>
      </c>
      <c r="J27" s="50">
        <f>LOG(I19)-LOG(I27)</f>
        <v>8.5516504878503632</v>
      </c>
      <c r="K27" s="124">
        <v>200</v>
      </c>
      <c r="L27" s="50">
        <f>LOG(K19)-LOG(K27)</f>
        <v>5.5422027824340283</v>
      </c>
      <c r="M27" s="121">
        <v>238</v>
      </c>
      <c r="N27" s="121">
        <v>7884</v>
      </c>
      <c r="O27" s="89">
        <v>3067</v>
      </c>
    </row>
    <row r="28" spans="1:19" x14ac:dyDescent="0.25">
      <c r="A28" s="142"/>
      <c r="B28" s="144">
        <f>AVERAGE(B20:B24)</f>
        <v>5.0999999999999996</v>
      </c>
      <c r="C28" s="144">
        <f>AVERAGE(C20:C24)</f>
        <v>10.094000000000001</v>
      </c>
      <c r="D28" s="144"/>
      <c r="E28" s="145"/>
      <c r="F28" s="145"/>
      <c r="G28" s="146"/>
      <c r="H28" s="146"/>
      <c r="I28" s="147"/>
      <c r="J28" s="148">
        <v>8.41</v>
      </c>
      <c r="K28" s="147"/>
      <c r="L28" s="149"/>
      <c r="M28" s="150"/>
      <c r="N28" s="150"/>
      <c r="O28" s="151"/>
    </row>
    <row r="29" spans="1:19" x14ac:dyDescent="0.25">
      <c r="A29" s="28" t="s">
        <v>140</v>
      </c>
      <c r="B29" s="28"/>
      <c r="C29" s="28"/>
      <c r="D29" s="28"/>
      <c r="E29" s="28"/>
      <c r="F29" s="28"/>
      <c r="G29" s="154"/>
      <c r="H29" s="28"/>
      <c r="I29" s="169"/>
      <c r="J29" s="115"/>
      <c r="K29" s="28"/>
      <c r="M29" s="176"/>
      <c r="N29" s="169"/>
    </row>
    <row r="30" spans="1:19" x14ac:dyDescent="0.25">
      <c r="A30" s="28"/>
      <c r="B30" s="28" t="s">
        <v>459</v>
      </c>
      <c r="C30" s="28"/>
      <c r="D30" s="28"/>
      <c r="E30" s="28"/>
      <c r="F30" s="28"/>
      <c r="G30" s="154"/>
      <c r="H30" s="28"/>
      <c r="I30" s="169"/>
      <c r="J30" s="28"/>
      <c r="K30" s="28" t="s">
        <v>34</v>
      </c>
      <c r="L30" s="28" t="s">
        <v>34</v>
      </c>
      <c r="M30" s="176" t="s">
        <v>34</v>
      </c>
      <c r="N30" s="169" t="s">
        <v>34</v>
      </c>
    </row>
    <row r="31" spans="1:19" x14ac:dyDescent="0.25">
      <c r="A31" s="28" t="s">
        <v>272</v>
      </c>
      <c r="B31" s="28"/>
      <c r="C31" s="28"/>
      <c r="D31" s="28"/>
      <c r="E31" s="28"/>
      <c r="F31" s="28"/>
      <c r="G31" s="154"/>
      <c r="H31" s="28"/>
      <c r="I31" s="169"/>
      <c r="J31" s="28"/>
      <c r="K31" s="28" t="s">
        <v>34</v>
      </c>
      <c r="L31" s="28" t="s">
        <v>34</v>
      </c>
      <c r="M31" s="176"/>
      <c r="N31" s="169"/>
    </row>
    <row r="32" spans="1:19" x14ac:dyDescent="0.25">
      <c r="A32" s="28"/>
      <c r="F32" s="28"/>
      <c r="G32" s="154"/>
      <c r="H32" s="28"/>
      <c r="I32" s="169"/>
      <c r="J32" s="28"/>
      <c r="K32" s="28" t="s">
        <v>34</v>
      </c>
      <c r="L32" s="28" t="s">
        <v>34</v>
      </c>
      <c r="M32" s="176" t="s">
        <v>34</v>
      </c>
      <c r="N32" s="169"/>
    </row>
    <row r="33" spans="1:16" x14ac:dyDescent="0.25">
      <c r="A33" s="28"/>
      <c r="F33" s="28"/>
      <c r="G33" s="154"/>
      <c r="H33" s="28"/>
      <c r="I33" s="169"/>
      <c r="J33" s="28"/>
      <c r="K33" s="28"/>
      <c r="L33" s="28"/>
      <c r="M33" s="176"/>
      <c r="N33" s="169"/>
    </row>
    <row r="34" spans="1:16" x14ac:dyDescent="0.25">
      <c r="A34" s="19" t="s">
        <v>28</v>
      </c>
      <c r="B34" s="28"/>
      <c r="C34" s="75"/>
      <c r="D34" s="75" t="s">
        <v>557</v>
      </c>
      <c r="E34" s="75"/>
      <c r="F34" s="75"/>
      <c r="G34" s="157"/>
      <c r="H34" s="75"/>
      <c r="I34" s="75"/>
      <c r="J34" s="75"/>
      <c r="K34" s="75"/>
      <c r="L34" s="75"/>
      <c r="M34" s="176"/>
      <c r="N34" s="169"/>
      <c r="O34" s="169"/>
      <c r="P34" s="75"/>
    </row>
    <row r="35" spans="1:16" x14ac:dyDescent="0.25">
      <c r="A35" s="28"/>
      <c r="B35" s="22"/>
      <c r="C35" s="171"/>
      <c r="D35" s="181" t="s">
        <v>558</v>
      </c>
      <c r="E35" s="171"/>
      <c r="F35" s="171"/>
      <c r="G35" s="158"/>
      <c r="H35" s="171"/>
      <c r="I35" s="171"/>
      <c r="J35" s="171"/>
      <c r="K35" s="171"/>
      <c r="L35" s="171"/>
      <c r="M35" s="176"/>
      <c r="N35" s="169"/>
    </row>
    <row r="36" spans="1:16" x14ac:dyDescent="0.25">
      <c r="A36" s="28"/>
      <c r="B36" s="41"/>
      <c r="C36" s="164"/>
      <c r="D36" s="164" t="s">
        <v>560</v>
      </c>
      <c r="E36" s="41"/>
      <c r="F36" s="41"/>
      <c r="G36" s="162"/>
      <c r="H36" s="41"/>
      <c r="I36" s="41"/>
      <c r="J36" s="41"/>
      <c r="K36" s="41"/>
      <c r="L36" s="41"/>
      <c r="M36" s="176"/>
      <c r="N36" s="169"/>
    </row>
    <row r="37" spans="1:16" x14ac:dyDescent="0.25">
      <c r="A37" s="28"/>
      <c r="B37" s="41"/>
      <c r="C37" s="164"/>
      <c r="D37" s="164" t="s">
        <v>562</v>
      </c>
      <c r="E37" s="41"/>
      <c r="F37" s="41"/>
      <c r="G37" s="162"/>
      <c r="H37" s="41"/>
      <c r="I37" s="41"/>
      <c r="J37" s="41"/>
      <c r="K37" s="41"/>
      <c r="L37" s="41"/>
      <c r="M37" s="176"/>
      <c r="N37" s="169"/>
    </row>
    <row r="38" spans="1:16" x14ac:dyDescent="0.25">
      <c r="B38" s="170"/>
      <c r="C38" s="170"/>
      <c r="D38" s="170"/>
      <c r="E38" s="170"/>
      <c r="F38" s="170"/>
      <c r="G38" s="159"/>
      <c r="H38" s="170"/>
      <c r="I38" s="170"/>
      <c r="J38" s="170"/>
      <c r="K38" s="170"/>
      <c r="L38" s="170"/>
      <c r="M38" s="179"/>
      <c r="N38" s="180"/>
    </row>
    <row r="39" spans="1:16" x14ac:dyDescent="0.25">
      <c r="B39" s="41"/>
      <c r="C39" s="64"/>
      <c r="D39" s="64"/>
      <c r="E39" s="64"/>
      <c r="F39" s="64"/>
      <c r="G39" s="163"/>
      <c r="H39" s="64"/>
      <c r="I39" s="64"/>
      <c r="J39" s="64"/>
      <c r="K39" s="64"/>
      <c r="L39" s="65"/>
    </row>
    <row r="40" spans="1:16" x14ac:dyDescent="0.25">
      <c r="B40" s="22"/>
    </row>
    <row r="41" spans="1:16" x14ac:dyDescent="0.25">
      <c r="B41" s="22"/>
    </row>
    <row r="42" spans="1:16" x14ac:dyDescent="0.25">
      <c r="B42" s="22"/>
      <c r="C42" s="28"/>
      <c r="D42" s="28"/>
      <c r="E42" s="28"/>
      <c r="F42" s="28"/>
      <c r="G42" s="154"/>
      <c r="H42" s="28"/>
      <c r="I42" s="169"/>
      <c r="J42" s="28"/>
    </row>
    <row r="43" spans="1:16" x14ac:dyDescent="0.25">
      <c r="B43" s="22"/>
    </row>
    <row r="45" spans="1:16" x14ac:dyDescent="0.25">
      <c r="B45" s="41"/>
      <c r="C45" s="41"/>
      <c r="D45" s="41"/>
      <c r="E45" s="41"/>
      <c r="F45" s="41"/>
      <c r="G45" s="162"/>
      <c r="H45" s="41"/>
      <c r="I45" s="41"/>
      <c r="J45" s="41"/>
      <c r="K45" s="41"/>
    </row>
    <row r="46" spans="1:16" x14ac:dyDescent="0.25">
      <c r="B46" s="41"/>
      <c r="C46" s="41"/>
      <c r="D46" s="41"/>
      <c r="E46" s="41"/>
      <c r="F46" s="41"/>
      <c r="G46" s="162"/>
      <c r="H46" s="41"/>
      <c r="I46" s="41"/>
      <c r="J46" s="41"/>
      <c r="K46" s="41"/>
    </row>
    <row r="47" spans="1:16" x14ac:dyDescent="0.25">
      <c r="B47" s="22"/>
      <c r="C47" s="28"/>
      <c r="D47" s="28"/>
      <c r="E47" s="28"/>
      <c r="F47" s="28"/>
      <c r="G47" s="154"/>
      <c r="H47" s="169"/>
      <c r="I47" s="28"/>
      <c r="J47" s="41"/>
      <c r="K47" s="28"/>
    </row>
  </sheetData>
  <pageMargins left="0.7" right="0.7" top="0.75" bottom="0.75" header="0.3" footer="0.3"/>
  <pageSetup scale="72" orientation="landscape" verticalDpi="597" r:id="rId1"/>
  <drawing r:id="rId2"/>
  <legacyDrawing r:id="rId3"/>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3">
    <tabColor rgb="FFFFFF00"/>
    <pageSetUpPr fitToPage="1"/>
  </sheetPr>
  <dimension ref="A6:S43"/>
  <sheetViews>
    <sheetView zoomScale="90" zoomScaleNormal="90" workbookViewId="0"/>
  </sheetViews>
  <sheetFormatPr defaultRowHeight="15" x14ac:dyDescent="0.25"/>
  <cols>
    <col min="1" max="1" width="7.140625" customWidth="1"/>
    <col min="2" max="2" width="11.140625" customWidth="1"/>
    <col min="3" max="3" width="6.42578125" style="178" customWidth="1"/>
    <col min="4" max="4" width="8.85546875" style="178" customWidth="1"/>
    <col min="5" max="5" width="8.140625" style="178" customWidth="1"/>
    <col min="6" max="6" width="8.85546875" style="178" customWidth="1"/>
    <col min="7" max="7" width="9.140625" style="177" customWidth="1"/>
    <col min="8" max="8" width="9.42578125" style="178" customWidth="1"/>
    <col min="9" max="9" width="9.140625" style="178"/>
    <col min="10" max="10" width="7.7109375" style="178" customWidth="1"/>
    <col min="11" max="11" width="9.140625" style="178"/>
    <col min="12" max="12" width="11" style="178" customWidth="1"/>
    <col min="13" max="13" width="6.7109375" style="177" customWidth="1"/>
    <col min="14" max="14" width="10.28515625" style="178" customWidth="1"/>
    <col min="15" max="15" width="9.140625" style="178"/>
  </cols>
  <sheetData>
    <row r="6" spans="1:15" x14ac:dyDescent="0.25">
      <c r="A6" s="7" t="s">
        <v>12</v>
      </c>
      <c r="B6" s="28"/>
      <c r="C6" s="194"/>
      <c r="D6" s="194"/>
      <c r="E6" s="194"/>
      <c r="F6" s="194"/>
      <c r="G6" s="176"/>
      <c r="H6" s="194"/>
      <c r="I6" s="194"/>
      <c r="J6" s="194"/>
      <c r="K6" s="194"/>
      <c r="L6" s="194"/>
      <c r="M6" s="176"/>
      <c r="N6" s="194"/>
      <c r="O6" s="194"/>
    </row>
    <row r="7" spans="1:15" x14ac:dyDescent="0.25">
      <c r="A7" s="30" t="s">
        <v>13</v>
      </c>
      <c r="B7" s="128">
        <v>41493</v>
      </c>
    </row>
    <row r="8" spans="1:15" x14ac:dyDescent="0.25">
      <c r="A8" s="28" t="s">
        <v>14</v>
      </c>
      <c r="B8" s="194" t="s">
        <v>576</v>
      </c>
      <c r="C8" s="194"/>
      <c r="D8" s="194"/>
      <c r="E8" s="194"/>
      <c r="F8" s="194"/>
      <c r="G8" s="176"/>
      <c r="H8" s="194"/>
      <c r="I8" s="194"/>
      <c r="J8" s="194"/>
      <c r="K8" s="194" t="s">
        <v>34</v>
      </c>
      <c r="L8" s="194" t="s">
        <v>34</v>
      </c>
      <c r="M8" s="176"/>
      <c r="N8" s="194"/>
    </row>
    <row r="9" spans="1:15" x14ac:dyDescent="0.25">
      <c r="A9" s="28" t="s">
        <v>15</v>
      </c>
      <c r="B9" s="186">
        <v>13</v>
      </c>
      <c r="C9" s="211" t="s">
        <v>577</v>
      </c>
      <c r="D9" s="194"/>
      <c r="E9" s="194"/>
      <c r="F9" s="194"/>
      <c r="G9" s="176"/>
      <c r="H9" s="194"/>
      <c r="I9" s="194"/>
      <c r="J9" s="194"/>
      <c r="K9" s="194"/>
      <c r="L9" s="194"/>
      <c r="M9" s="176"/>
      <c r="N9" s="194"/>
    </row>
    <row r="10" spans="1:15" x14ac:dyDescent="0.25">
      <c r="A10" s="28" t="s">
        <v>16</v>
      </c>
      <c r="B10" s="31">
        <v>2000</v>
      </c>
      <c r="C10" s="31" t="s">
        <v>578</v>
      </c>
      <c r="D10" s="194"/>
      <c r="E10" s="194"/>
      <c r="F10" s="194"/>
      <c r="G10" s="176"/>
      <c r="H10" s="194"/>
      <c r="I10" s="194"/>
      <c r="J10" s="194" t="s">
        <v>34</v>
      </c>
      <c r="K10" s="194" t="s">
        <v>34</v>
      </c>
      <c r="L10" s="194" t="s">
        <v>34</v>
      </c>
      <c r="M10" s="176" t="s">
        <v>34</v>
      </c>
      <c r="N10" s="194" t="s">
        <v>34</v>
      </c>
    </row>
    <row r="11" spans="1:15" x14ac:dyDescent="0.25">
      <c r="A11" s="28"/>
      <c r="B11" s="238">
        <v>1300000000</v>
      </c>
      <c r="C11" s="31" t="s">
        <v>584</v>
      </c>
      <c r="D11" s="194"/>
      <c r="E11" s="194"/>
      <c r="F11" s="194"/>
      <c r="G11" s="176"/>
      <c r="H11" s="194"/>
      <c r="I11" s="194"/>
      <c r="J11" s="194"/>
      <c r="K11" s="194" t="s">
        <v>34</v>
      </c>
      <c r="L11" s="194"/>
      <c r="M11" s="176"/>
      <c r="N11" s="194"/>
    </row>
    <row r="12" spans="1:15" x14ac:dyDescent="0.25">
      <c r="A12" s="28"/>
      <c r="B12" s="31">
        <v>99</v>
      </c>
      <c r="C12" s="31" t="s">
        <v>579</v>
      </c>
      <c r="D12" s="194"/>
      <c r="E12" s="194"/>
      <c r="F12" s="194"/>
      <c r="G12" s="176"/>
      <c r="H12" s="194"/>
      <c r="I12" s="194"/>
      <c r="J12" s="194"/>
      <c r="K12" s="194"/>
      <c r="L12" s="194"/>
      <c r="M12" s="176"/>
      <c r="N12" s="194"/>
    </row>
    <row r="13" spans="1:15" x14ac:dyDescent="0.25">
      <c r="A13" s="28"/>
      <c r="B13" s="244">
        <v>6</v>
      </c>
      <c r="C13" s="28" t="s">
        <v>697</v>
      </c>
      <c r="D13" s="251"/>
      <c r="E13" s="251"/>
      <c r="F13" s="251"/>
      <c r="G13" s="176"/>
      <c r="H13" s="251"/>
      <c r="I13" s="251"/>
      <c r="J13" s="251"/>
      <c r="K13" s="251"/>
      <c r="L13" s="251"/>
      <c r="M13" s="176"/>
      <c r="N13" s="251"/>
    </row>
    <row r="14" spans="1:15" x14ac:dyDescent="0.25">
      <c r="A14" s="28"/>
      <c r="B14" s="244">
        <v>100</v>
      </c>
      <c r="C14" s="87" t="s">
        <v>696</v>
      </c>
      <c r="D14" s="251"/>
      <c r="E14" s="251"/>
      <c r="F14" s="251"/>
      <c r="G14" s="176"/>
      <c r="H14" s="251"/>
      <c r="I14" s="251"/>
      <c r="J14" s="251"/>
      <c r="K14" s="251"/>
      <c r="L14" s="251"/>
      <c r="M14" s="176"/>
      <c r="N14" s="251"/>
    </row>
    <row r="15" spans="1:15" x14ac:dyDescent="0.25">
      <c r="A15" s="28"/>
      <c r="B15" s="244">
        <v>0</v>
      </c>
      <c r="C15" s="87" t="s">
        <v>698</v>
      </c>
      <c r="D15" s="251"/>
      <c r="E15" s="251"/>
      <c r="F15" s="251"/>
      <c r="G15" s="176"/>
      <c r="H15" s="251"/>
      <c r="I15" s="251"/>
      <c r="J15" s="251"/>
      <c r="K15" s="251"/>
      <c r="L15" s="251"/>
      <c r="M15" s="176"/>
      <c r="N15" s="251"/>
    </row>
    <row r="16" spans="1:15" x14ac:dyDescent="0.25">
      <c r="A16" s="28"/>
      <c r="B16" s="245">
        <f>(B12*B13/100*1000)/(B10+B12-B14+B15)*1000</f>
        <v>2971.4857428714358</v>
      </c>
      <c r="C16" s="28" t="s">
        <v>700</v>
      </c>
      <c r="D16" s="251"/>
      <c r="E16" s="251"/>
      <c r="F16" s="251"/>
      <c r="G16" s="176"/>
      <c r="H16" s="251"/>
      <c r="I16" s="251"/>
      <c r="J16" s="251"/>
      <c r="K16" s="251"/>
      <c r="L16" s="251"/>
      <c r="M16" s="176"/>
      <c r="N16" s="251"/>
    </row>
    <row r="17" spans="1:19" ht="15.75" thickBot="1" x14ac:dyDescent="0.3">
      <c r="A17" s="28"/>
      <c r="B17" s="28" t="s">
        <v>647</v>
      </c>
      <c r="C17" s="28"/>
      <c r="D17" s="194"/>
      <c r="E17" s="194"/>
      <c r="F17" s="194"/>
      <c r="G17" s="176"/>
      <c r="H17" s="194"/>
      <c r="I17" s="194"/>
      <c r="J17" s="194"/>
      <c r="K17" s="194"/>
      <c r="L17" s="194"/>
      <c r="M17" s="176"/>
      <c r="N17" s="194"/>
    </row>
    <row r="18" spans="1:19" ht="90" thickBot="1" x14ac:dyDescent="0.3">
      <c r="A18" s="10" t="s">
        <v>29</v>
      </c>
      <c r="B18" s="11" t="s">
        <v>17</v>
      </c>
      <c r="C18" s="11" t="s">
        <v>30</v>
      </c>
      <c r="D18" s="11" t="s">
        <v>31</v>
      </c>
      <c r="E18" s="11" t="s">
        <v>32</v>
      </c>
      <c r="F18" s="11" t="s">
        <v>33</v>
      </c>
      <c r="G18" s="161" t="s">
        <v>202</v>
      </c>
      <c r="H18" s="11" t="s">
        <v>19</v>
      </c>
      <c r="I18" s="12" t="s">
        <v>20</v>
      </c>
      <c r="J18" s="11" t="s">
        <v>21</v>
      </c>
      <c r="K18" s="13" t="s">
        <v>22</v>
      </c>
      <c r="L18" s="11" t="s">
        <v>21</v>
      </c>
      <c r="M18" s="156" t="s">
        <v>23</v>
      </c>
      <c r="N18" s="14" t="s">
        <v>24</v>
      </c>
      <c r="O18" s="14" t="s">
        <v>25</v>
      </c>
      <c r="P18" s="14" t="s">
        <v>678</v>
      </c>
      <c r="Q18" s="14" t="s">
        <v>681</v>
      </c>
      <c r="R18" s="14" t="s">
        <v>897</v>
      </c>
      <c r="S18" s="14" t="s">
        <v>729</v>
      </c>
    </row>
    <row r="19" spans="1:19" ht="15.75" thickBot="1" x14ac:dyDescent="0.3">
      <c r="A19" s="32">
        <v>0</v>
      </c>
      <c r="B19" s="91">
        <v>22.3</v>
      </c>
      <c r="C19" s="105">
        <v>8.9600000000000009</v>
      </c>
      <c r="D19" s="105">
        <v>9.07</v>
      </c>
      <c r="E19" s="91">
        <v>1.33</v>
      </c>
      <c r="F19" s="91">
        <v>1.36</v>
      </c>
      <c r="G19" s="122">
        <v>357</v>
      </c>
      <c r="H19" s="122">
        <v>3500</v>
      </c>
      <c r="I19" s="124">
        <v>23800000</v>
      </c>
      <c r="J19" s="125">
        <f>LOG(I$19)-LOG(I19)</f>
        <v>0</v>
      </c>
      <c r="K19" s="124">
        <v>29600000</v>
      </c>
      <c r="L19" s="91" t="s">
        <v>26</v>
      </c>
      <c r="M19" s="119"/>
      <c r="N19" s="119"/>
      <c r="O19" s="60"/>
      <c r="P19" s="233">
        <f>B$16*A19</f>
        <v>0</v>
      </c>
      <c r="Q19" s="233">
        <f>6/LINEST($J19:$J20,$P19:$P20,FALSE)</f>
        <v>67939.397624591278</v>
      </c>
      <c r="R19" s="249">
        <f>Q19/3000</f>
        <v>22.646465874863761</v>
      </c>
      <c r="S19" s="249">
        <f>(J26/LINEST($J19:$J20,$P19:$P20,FALSE))/$B$16</f>
        <v>28.122449949059984</v>
      </c>
    </row>
    <row r="20" spans="1:19" ht="15.75" thickBot="1" x14ac:dyDescent="0.3">
      <c r="A20" s="32">
        <v>5</v>
      </c>
      <c r="B20" s="103">
        <v>22.4</v>
      </c>
      <c r="C20" s="100">
        <v>9.07</v>
      </c>
      <c r="D20" s="105">
        <v>9.7100000000000009</v>
      </c>
      <c r="E20" s="58">
        <v>3000</v>
      </c>
      <c r="F20" s="58">
        <v>1.57</v>
      </c>
      <c r="G20" s="113">
        <v>328</v>
      </c>
      <c r="H20" s="113">
        <v>3290</v>
      </c>
      <c r="I20" s="124">
        <v>1160000</v>
      </c>
      <c r="J20" s="125">
        <f>LOG(I$19)-LOG(I20)</f>
        <v>1.3121189678295941</v>
      </c>
      <c r="K20" s="124">
        <v>918000</v>
      </c>
      <c r="L20" s="50">
        <f>LOG(K19)-LOG(K20)</f>
        <v>1.5084490298576965</v>
      </c>
      <c r="M20" s="121"/>
      <c r="N20" s="121"/>
      <c r="O20" s="60"/>
      <c r="P20" s="233">
        <f>B$16*A20</f>
        <v>14857.428714357178</v>
      </c>
      <c r="Q20" s="225"/>
    </row>
    <row r="21" spans="1:19" ht="15.75" thickBot="1" x14ac:dyDescent="0.3">
      <c r="A21" s="32">
        <v>10</v>
      </c>
      <c r="B21" s="192">
        <v>22.7</v>
      </c>
      <c r="C21" s="100">
        <v>9.09</v>
      </c>
      <c r="D21" s="212">
        <v>9.85</v>
      </c>
      <c r="E21" s="58">
        <v>2800</v>
      </c>
      <c r="F21" s="100">
        <v>1.28</v>
      </c>
      <c r="G21" s="113">
        <v>327</v>
      </c>
      <c r="H21" s="113"/>
      <c r="I21" s="124">
        <v>0</v>
      </c>
      <c r="J21" s="50" t="s">
        <v>524</v>
      </c>
      <c r="K21" s="124">
        <v>0</v>
      </c>
      <c r="L21" s="50" t="s">
        <v>580</v>
      </c>
      <c r="M21" s="121"/>
      <c r="N21" s="121"/>
      <c r="O21" s="60"/>
      <c r="P21" s="233">
        <f>B$16*A21</f>
        <v>29714.857428714357</v>
      </c>
    </row>
    <row r="22" spans="1:19" ht="15.75" thickBot="1" x14ac:dyDescent="0.3">
      <c r="A22" s="32">
        <v>15</v>
      </c>
      <c r="B22" s="103">
        <v>22.6</v>
      </c>
      <c r="C22" s="100">
        <v>9.09</v>
      </c>
      <c r="D22" s="105">
        <v>9.9</v>
      </c>
      <c r="E22" s="58">
        <v>2800</v>
      </c>
      <c r="F22" s="100">
        <v>1.46</v>
      </c>
      <c r="G22" s="113">
        <v>339</v>
      </c>
      <c r="H22" s="113"/>
      <c r="I22" s="124">
        <v>0</v>
      </c>
      <c r="J22" s="50" t="s">
        <v>524</v>
      </c>
      <c r="K22" s="124">
        <v>0</v>
      </c>
      <c r="L22" s="50" t="s">
        <v>580</v>
      </c>
      <c r="M22" s="121"/>
      <c r="N22" s="121"/>
      <c r="O22" s="60"/>
      <c r="P22" s="233"/>
    </row>
    <row r="23" spans="1:19" ht="15.75" thickBot="1" x14ac:dyDescent="0.3">
      <c r="A23" s="32">
        <v>30</v>
      </c>
      <c r="B23" s="103">
        <v>20.8</v>
      </c>
      <c r="C23" s="100">
        <v>9.09</v>
      </c>
      <c r="D23" s="105">
        <v>9.94</v>
      </c>
      <c r="E23" s="58">
        <v>3000</v>
      </c>
      <c r="F23" s="58">
        <v>1.35</v>
      </c>
      <c r="G23" s="113">
        <v>345</v>
      </c>
      <c r="H23" s="113"/>
      <c r="I23" s="124">
        <v>0</v>
      </c>
      <c r="J23" s="50" t="s">
        <v>524</v>
      </c>
      <c r="K23" s="124">
        <v>0</v>
      </c>
      <c r="L23" s="50" t="s">
        <v>580</v>
      </c>
      <c r="M23" s="121"/>
      <c r="N23" s="121"/>
      <c r="O23" s="60"/>
      <c r="P23" s="233"/>
    </row>
    <row r="24" spans="1:19" ht="15.75" thickBot="1" x14ac:dyDescent="0.3">
      <c r="A24" s="193">
        <v>60</v>
      </c>
      <c r="B24" s="103">
        <v>18.2</v>
      </c>
      <c r="C24" s="100">
        <v>9.1</v>
      </c>
      <c r="D24" s="105">
        <v>9.9600000000000009</v>
      </c>
      <c r="E24" s="58">
        <v>2800</v>
      </c>
      <c r="F24" s="58">
        <v>1.25</v>
      </c>
      <c r="G24" s="113">
        <v>331</v>
      </c>
      <c r="H24" s="113">
        <v>3470</v>
      </c>
      <c r="I24" s="124">
        <v>0</v>
      </c>
      <c r="J24" s="50" t="s">
        <v>524</v>
      </c>
      <c r="K24" s="124">
        <v>0</v>
      </c>
      <c r="L24" s="50" t="s">
        <v>580</v>
      </c>
      <c r="M24" s="121">
        <v>216</v>
      </c>
      <c r="N24" s="121">
        <v>20750</v>
      </c>
      <c r="O24" s="89"/>
      <c r="P24" s="233"/>
    </row>
    <row r="25" spans="1:19" ht="15.75" thickBot="1" x14ac:dyDescent="0.3">
      <c r="A25" s="32" t="s">
        <v>497</v>
      </c>
      <c r="B25" s="103">
        <v>17.5</v>
      </c>
      <c r="C25" s="100">
        <v>9.1199999999999992</v>
      </c>
      <c r="D25" s="100">
        <v>9.93</v>
      </c>
      <c r="E25" s="58">
        <v>2900</v>
      </c>
      <c r="F25" s="58">
        <v>1.32</v>
      </c>
      <c r="G25" s="113">
        <v>356</v>
      </c>
      <c r="H25" s="113">
        <v>3280</v>
      </c>
      <c r="I25" s="124">
        <v>0</v>
      </c>
      <c r="J25" s="50" t="s">
        <v>524</v>
      </c>
      <c r="K25" s="124">
        <v>0</v>
      </c>
      <c r="L25" s="50" t="s">
        <v>580</v>
      </c>
      <c r="M25" s="121">
        <v>200</v>
      </c>
      <c r="N25" s="121">
        <v>21040</v>
      </c>
      <c r="O25" s="89">
        <v>5333</v>
      </c>
      <c r="P25" s="233"/>
    </row>
    <row r="26" spans="1:19" x14ac:dyDescent="0.25">
      <c r="A26" s="142"/>
      <c r="B26" s="144">
        <f>AVERAGE(B20)</f>
        <v>22.4</v>
      </c>
      <c r="C26" s="144">
        <f>AVERAGE(C20)</f>
        <v>9.07</v>
      </c>
      <c r="D26" s="144"/>
      <c r="E26" s="145"/>
      <c r="F26" s="145"/>
      <c r="G26" s="146"/>
      <c r="H26" s="146"/>
      <c r="I26" s="147"/>
      <c r="J26" s="148">
        <v>7.38</v>
      </c>
      <c r="K26" s="147"/>
      <c r="L26" s="149"/>
      <c r="M26" s="150"/>
      <c r="N26" s="150"/>
      <c r="O26" s="151"/>
    </row>
    <row r="27" spans="1:19" x14ac:dyDescent="0.25">
      <c r="A27" s="28" t="s">
        <v>140</v>
      </c>
      <c r="B27" s="28"/>
      <c r="C27" s="194"/>
      <c r="D27" s="194"/>
      <c r="E27" s="194"/>
      <c r="F27" s="194"/>
      <c r="G27" s="176"/>
      <c r="H27" s="194"/>
      <c r="I27" s="194"/>
      <c r="J27" s="115"/>
      <c r="K27" s="194"/>
      <c r="M27" s="176"/>
      <c r="N27" s="194"/>
    </row>
    <row r="28" spans="1:19" x14ac:dyDescent="0.25">
      <c r="A28" s="28"/>
      <c r="B28" s="28" t="s">
        <v>459</v>
      </c>
      <c r="C28" s="194"/>
      <c r="D28" s="194"/>
      <c r="E28" s="194"/>
      <c r="F28" s="194"/>
      <c r="G28" s="176"/>
      <c r="H28" s="194"/>
      <c r="I28" s="194"/>
      <c r="J28" s="194"/>
      <c r="K28" s="194" t="s">
        <v>34</v>
      </c>
      <c r="L28" s="194" t="s">
        <v>34</v>
      </c>
      <c r="M28" s="176" t="s">
        <v>34</v>
      </c>
      <c r="N28" s="194" t="s">
        <v>34</v>
      </c>
    </row>
    <row r="29" spans="1:19" x14ac:dyDescent="0.25">
      <c r="A29" s="28" t="s">
        <v>272</v>
      </c>
      <c r="B29" s="28"/>
      <c r="C29" s="194"/>
      <c r="D29" s="194"/>
      <c r="E29" s="194"/>
      <c r="F29" s="194"/>
      <c r="G29" s="176"/>
      <c r="H29" s="194"/>
      <c r="I29" s="194"/>
      <c r="J29" s="194"/>
      <c r="K29" s="194" t="s">
        <v>34</v>
      </c>
      <c r="L29" s="194" t="s">
        <v>34</v>
      </c>
      <c r="M29" s="176"/>
      <c r="N29" s="194"/>
    </row>
    <row r="30" spans="1:19" x14ac:dyDescent="0.25">
      <c r="A30" s="28"/>
      <c r="F30" s="194"/>
      <c r="G30" s="176"/>
      <c r="H30" s="194"/>
      <c r="I30" s="194"/>
      <c r="J30" s="194"/>
      <c r="K30" s="194" t="s">
        <v>34</v>
      </c>
      <c r="L30" s="194" t="s">
        <v>34</v>
      </c>
      <c r="M30" s="176" t="s">
        <v>34</v>
      </c>
      <c r="N30" s="194"/>
    </row>
    <row r="31" spans="1:19" x14ac:dyDescent="0.25">
      <c r="A31" s="28"/>
      <c r="F31" s="194"/>
      <c r="G31" s="176"/>
      <c r="H31" s="194"/>
      <c r="I31" s="194"/>
      <c r="J31" s="194"/>
      <c r="K31" s="194"/>
      <c r="L31" s="194"/>
      <c r="M31" s="176"/>
      <c r="N31" s="194"/>
    </row>
    <row r="32" spans="1:19" x14ac:dyDescent="0.25">
      <c r="A32" s="19" t="s">
        <v>28</v>
      </c>
      <c r="B32" s="28"/>
      <c r="C32" s="195" t="s">
        <v>581</v>
      </c>
      <c r="D32" s="194"/>
      <c r="E32" s="194"/>
      <c r="F32" s="194"/>
      <c r="G32" s="176"/>
      <c r="H32" s="194"/>
      <c r="I32" s="194"/>
      <c r="J32" s="194"/>
      <c r="K32" s="194"/>
      <c r="L32" s="194"/>
      <c r="M32" s="176"/>
      <c r="N32" s="194"/>
      <c r="O32" s="194"/>
      <c r="P32" s="75"/>
    </row>
    <row r="33" spans="1:14" x14ac:dyDescent="0.25">
      <c r="A33" s="28"/>
      <c r="B33" s="41"/>
      <c r="C33" s="197" t="s">
        <v>582</v>
      </c>
      <c r="D33" s="202"/>
      <c r="E33" s="196"/>
      <c r="F33" s="196"/>
      <c r="G33" s="203"/>
      <c r="H33" s="196"/>
      <c r="I33" s="196"/>
      <c r="J33" s="196"/>
      <c r="K33" s="196"/>
      <c r="L33" s="196"/>
      <c r="M33" s="176"/>
      <c r="N33" s="194"/>
    </row>
    <row r="34" spans="1:14" x14ac:dyDescent="0.25">
      <c r="B34" s="187"/>
      <c r="C34" s="188"/>
      <c r="D34" s="180"/>
      <c r="E34" s="180"/>
      <c r="F34" s="180"/>
      <c r="G34" s="179"/>
      <c r="H34" s="180"/>
      <c r="I34" s="180"/>
      <c r="J34" s="180"/>
      <c r="K34" s="180"/>
      <c r="L34" s="180"/>
      <c r="M34" s="179"/>
      <c r="N34" s="180"/>
    </row>
    <row r="35" spans="1:14" x14ac:dyDescent="0.25">
      <c r="B35" s="41"/>
      <c r="C35" s="94"/>
      <c r="D35" s="94"/>
      <c r="E35" s="94"/>
      <c r="F35" s="94"/>
      <c r="G35" s="160"/>
      <c r="H35" s="94"/>
      <c r="I35" s="94"/>
      <c r="J35" s="94"/>
      <c r="K35" s="94"/>
      <c r="L35" s="204"/>
    </row>
    <row r="36" spans="1:14" x14ac:dyDescent="0.25">
      <c r="B36" s="22"/>
    </row>
    <row r="37" spans="1:14" x14ac:dyDescent="0.25">
      <c r="B37" s="22"/>
    </row>
    <row r="38" spans="1:14" x14ac:dyDescent="0.25">
      <c r="B38" s="22"/>
      <c r="C38" s="194"/>
      <c r="D38" s="194"/>
      <c r="E38" s="194"/>
      <c r="F38" s="194"/>
      <c r="G38" s="176"/>
      <c r="H38" s="194"/>
      <c r="I38" s="194"/>
      <c r="J38" s="194"/>
    </row>
    <row r="39" spans="1:14" x14ac:dyDescent="0.25">
      <c r="B39" s="22"/>
    </row>
    <row r="41" spans="1:14" x14ac:dyDescent="0.25">
      <c r="B41" s="41"/>
      <c r="C41" s="196"/>
      <c r="D41" s="196"/>
      <c r="E41" s="196"/>
      <c r="F41" s="196"/>
      <c r="G41" s="203"/>
      <c r="H41" s="196"/>
      <c r="I41" s="196"/>
      <c r="J41" s="196"/>
      <c r="K41" s="196"/>
    </row>
    <row r="42" spans="1:14" x14ac:dyDescent="0.25">
      <c r="B42" s="41"/>
      <c r="C42" s="196"/>
      <c r="D42" s="196"/>
      <c r="E42" s="196"/>
      <c r="F42" s="196"/>
      <c r="G42" s="203"/>
      <c r="H42" s="196"/>
      <c r="I42" s="196"/>
      <c r="J42" s="196"/>
      <c r="K42" s="196"/>
    </row>
    <row r="43" spans="1:14" x14ac:dyDescent="0.25">
      <c r="B43" s="22"/>
      <c r="C43" s="194"/>
      <c r="D43" s="194"/>
      <c r="E43" s="194"/>
      <c r="F43" s="194"/>
      <c r="G43" s="176"/>
      <c r="H43" s="194"/>
      <c r="I43" s="194"/>
      <c r="J43" s="196"/>
      <c r="K43" s="194"/>
    </row>
  </sheetData>
  <pageMargins left="0.7" right="0.7" top="0.75" bottom="0.75" header="0.3" footer="0.3"/>
  <pageSetup scale="72" orientation="landscape" verticalDpi="597" r:id="rId1"/>
  <drawing r:id="rId2"/>
  <legacyDrawing r:id="rId3"/>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4">
    <tabColor rgb="FFFFFF00"/>
    <pageSetUpPr fitToPage="1"/>
  </sheetPr>
  <dimension ref="A6:S45"/>
  <sheetViews>
    <sheetView zoomScale="90" zoomScaleNormal="90" workbookViewId="0"/>
  </sheetViews>
  <sheetFormatPr defaultRowHeight="15" x14ac:dyDescent="0.25"/>
  <cols>
    <col min="1" max="1" width="7.140625" customWidth="1"/>
    <col min="2" max="2" width="11.140625" customWidth="1"/>
    <col min="3" max="3" width="6.42578125" style="178" customWidth="1"/>
    <col min="4" max="4" width="8.85546875" style="178" customWidth="1"/>
    <col min="5" max="5" width="8.140625" style="178" customWidth="1"/>
    <col min="6" max="6" width="8.85546875" style="178" customWidth="1"/>
    <col min="7" max="7" width="9.140625" style="177" customWidth="1"/>
    <col min="8" max="8" width="9.42578125" style="178" customWidth="1"/>
    <col min="9" max="9" width="9.140625" style="178"/>
    <col min="10" max="10" width="7.7109375" style="178" customWidth="1"/>
    <col min="11" max="11" width="9.140625" style="178"/>
    <col min="12" max="12" width="11" style="178" customWidth="1"/>
    <col min="13" max="13" width="6.7109375" style="177" customWidth="1"/>
    <col min="14" max="14" width="10.28515625" style="178" customWidth="1"/>
    <col min="15" max="15" width="9.140625" style="178"/>
  </cols>
  <sheetData>
    <row r="6" spans="1:15" x14ac:dyDescent="0.25">
      <c r="A6" s="7" t="s">
        <v>12</v>
      </c>
      <c r="B6" s="28"/>
      <c r="C6" s="199"/>
      <c r="D6" s="199"/>
      <c r="E6" s="199"/>
      <c r="F6" s="199"/>
      <c r="G6" s="176"/>
      <c r="H6" s="199"/>
      <c r="I6" s="199"/>
      <c r="J6" s="199"/>
      <c r="K6" s="199"/>
      <c r="L6" s="199"/>
      <c r="M6" s="176"/>
      <c r="N6" s="199"/>
      <c r="O6" s="199"/>
    </row>
    <row r="7" spans="1:15" x14ac:dyDescent="0.25">
      <c r="A7" s="30" t="s">
        <v>13</v>
      </c>
      <c r="B7" s="128">
        <v>41498</v>
      </c>
    </row>
    <row r="8" spans="1:15" x14ac:dyDescent="0.25">
      <c r="A8" s="28" t="s">
        <v>14</v>
      </c>
      <c r="B8" s="199" t="s">
        <v>583</v>
      </c>
      <c r="C8" s="199"/>
      <c r="D8" s="199"/>
      <c r="E8" s="199"/>
      <c r="F8" s="199"/>
      <c r="G8" s="176"/>
      <c r="H8" s="199"/>
      <c r="I8" s="199"/>
      <c r="J8" s="199"/>
      <c r="K8" s="199" t="s">
        <v>34</v>
      </c>
      <c r="L8" s="199" t="s">
        <v>34</v>
      </c>
      <c r="M8" s="176"/>
      <c r="N8" s="199"/>
    </row>
    <row r="9" spans="1:15" x14ac:dyDescent="0.25">
      <c r="A9" s="28" t="s">
        <v>15</v>
      </c>
      <c r="B9" s="199">
        <v>13</v>
      </c>
      <c r="C9" s="211" t="s">
        <v>577</v>
      </c>
      <c r="D9" s="199"/>
      <c r="E9" s="199"/>
      <c r="F9" s="199"/>
      <c r="G9" s="176"/>
      <c r="H9" s="199"/>
      <c r="I9" s="199"/>
      <c r="J9" s="199"/>
      <c r="K9" s="199"/>
      <c r="L9" s="199"/>
      <c r="M9" s="176"/>
      <c r="N9" s="199"/>
    </row>
    <row r="10" spans="1:15" x14ac:dyDescent="0.25">
      <c r="A10" s="28" t="s">
        <v>16</v>
      </c>
      <c r="B10" s="244">
        <v>2000</v>
      </c>
      <c r="C10" s="31" t="s">
        <v>578</v>
      </c>
      <c r="D10" s="199"/>
      <c r="E10" s="199"/>
      <c r="F10" s="199"/>
      <c r="G10" s="176"/>
      <c r="H10" s="199"/>
      <c r="I10" s="199"/>
      <c r="J10" s="199" t="s">
        <v>34</v>
      </c>
      <c r="K10" s="199" t="s">
        <v>34</v>
      </c>
      <c r="L10" s="199" t="s">
        <v>34</v>
      </c>
      <c r="M10" s="176" t="s">
        <v>34</v>
      </c>
      <c r="N10" s="199" t="s">
        <v>34</v>
      </c>
    </row>
    <row r="11" spans="1:15" x14ac:dyDescent="0.25">
      <c r="A11" s="28"/>
      <c r="B11" s="256">
        <v>1300000000</v>
      </c>
      <c r="C11" s="31" t="s">
        <v>584</v>
      </c>
      <c r="D11" s="199"/>
      <c r="E11" s="199"/>
      <c r="F11" s="199"/>
      <c r="G11" s="176"/>
      <c r="H11" s="199"/>
      <c r="I11" s="199"/>
      <c r="J11" s="199"/>
      <c r="K11" s="199" t="s">
        <v>34</v>
      </c>
      <c r="L11" s="199"/>
      <c r="M11" s="176"/>
      <c r="N11" s="199"/>
    </row>
    <row r="12" spans="1:15" x14ac:dyDescent="0.25">
      <c r="A12" s="28"/>
      <c r="B12" s="244">
        <v>99</v>
      </c>
      <c r="C12" s="31" t="s">
        <v>579</v>
      </c>
      <c r="D12" s="199"/>
      <c r="E12" s="199"/>
      <c r="F12" s="199"/>
      <c r="G12" s="176"/>
      <c r="H12" s="199"/>
      <c r="I12" s="199"/>
      <c r="J12" s="199"/>
      <c r="K12" s="199"/>
      <c r="L12" s="199"/>
      <c r="M12" s="176"/>
      <c r="N12" s="199"/>
    </row>
    <row r="13" spans="1:15" x14ac:dyDescent="0.25">
      <c r="A13" s="28"/>
      <c r="B13" s="244">
        <v>6</v>
      </c>
      <c r="C13" s="28" t="s">
        <v>697</v>
      </c>
      <c r="D13" s="251"/>
      <c r="E13" s="251"/>
      <c r="F13" s="251"/>
      <c r="G13" s="176"/>
      <c r="H13" s="251"/>
      <c r="I13" s="251"/>
      <c r="J13" s="251"/>
      <c r="K13" s="251"/>
      <c r="L13" s="251"/>
      <c r="M13" s="176"/>
      <c r="N13" s="251"/>
    </row>
    <row r="14" spans="1:15" x14ac:dyDescent="0.25">
      <c r="A14" s="28"/>
      <c r="B14" s="244">
        <v>100</v>
      </c>
      <c r="C14" s="87" t="s">
        <v>696</v>
      </c>
      <c r="D14" s="251"/>
      <c r="E14" s="251"/>
      <c r="F14" s="251"/>
      <c r="G14" s="176"/>
      <c r="H14" s="251"/>
      <c r="I14" s="251"/>
      <c r="J14" s="251"/>
      <c r="K14" s="251"/>
      <c r="L14" s="251"/>
      <c r="M14" s="176"/>
      <c r="N14" s="251"/>
    </row>
    <row r="15" spans="1:15" x14ac:dyDescent="0.25">
      <c r="A15" s="28"/>
      <c r="B15" s="244">
        <v>0</v>
      </c>
      <c r="C15" s="87" t="s">
        <v>698</v>
      </c>
      <c r="D15" s="251"/>
      <c r="E15" s="251"/>
      <c r="F15" s="251"/>
      <c r="G15" s="176"/>
      <c r="H15" s="251"/>
      <c r="I15" s="251"/>
      <c r="J15" s="251"/>
      <c r="K15" s="251"/>
      <c r="L15" s="251"/>
      <c r="M15" s="176"/>
      <c r="N15" s="251"/>
    </row>
    <row r="16" spans="1:15" x14ac:dyDescent="0.25">
      <c r="A16" s="28"/>
      <c r="B16" s="245">
        <f>(B12*B13/100*1000)/(B10+B12-B14+B15)*1000</f>
        <v>2971.4857428714358</v>
      </c>
      <c r="C16" s="28" t="s">
        <v>700</v>
      </c>
      <c r="D16" s="251"/>
      <c r="E16" s="251"/>
      <c r="F16" s="251"/>
      <c r="G16" s="176"/>
      <c r="H16" s="251"/>
      <c r="I16" s="251"/>
      <c r="J16" s="251"/>
      <c r="K16" s="251"/>
      <c r="L16" s="251"/>
      <c r="M16" s="176"/>
      <c r="N16" s="251"/>
    </row>
    <row r="17" spans="1:19" ht="15.75" thickBot="1" x14ac:dyDescent="0.3">
      <c r="A17" s="28"/>
      <c r="B17" s="28" t="s">
        <v>647</v>
      </c>
      <c r="C17" s="28"/>
      <c r="D17" s="199"/>
      <c r="E17" s="199"/>
      <c r="F17" s="199"/>
      <c r="G17" s="176"/>
      <c r="H17" s="199"/>
      <c r="I17" s="199"/>
      <c r="J17" s="199"/>
      <c r="K17" s="199"/>
      <c r="L17" s="199"/>
      <c r="M17" s="176"/>
      <c r="N17" s="199"/>
    </row>
    <row r="18" spans="1:19" ht="90" thickBot="1" x14ac:dyDescent="0.3">
      <c r="A18" s="10" t="s">
        <v>29</v>
      </c>
      <c r="B18" s="11" t="s">
        <v>17</v>
      </c>
      <c r="C18" s="11" t="s">
        <v>30</v>
      </c>
      <c r="D18" s="11" t="s">
        <v>31</v>
      </c>
      <c r="E18" s="11" t="s">
        <v>32</v>
      </c>
      <c r="F18" s="11" t="s">
        <v>33</v>
      </c>
      <c r="G18" s="161" t="s">
        <v>202</v>
      </c>
      <c r="H18" s="11" t="s">
        <v>19</v>
      </c>
      <c r="I18" s="12" t="s">
        <v>20</v>
      </c>
      <c r="J18" s="11" t="s">
        <v>21</v>
      </c>
      <c r="K18" s="13" t="s">
        <v>22</v>
      </c>
      <c r="L18" s="11" t="s">
        <v>21</v>
      </c>
      <c r="M18" s="156" t="s">
        <v>23</v>
      </c>
      <c r="N18" s="14" t="s">
        <v>24</v>
      </c>
      <c r="O18" s="14" t="s">
        <v>25</v>
      </c>
      <c r="P18" s="14" t="s">
        <v>678</v>
      </c>
      <c r="Q18" s="14" t="s">
        <v>681</v>
      </c>
      <c r="R18" s="14" t="s">
        <v>897</v>
      </c>
      <c r="S18" s="14" t="s">
        <v>729</v>
      </c>
    </row>
    <row r="19" spans="1:19" ht="15.75" thickBot="1" x14ac:dyDescent="0.3">
      <c r="A19" s="32">
        <v>0</v>
      </c>
      <c r="B19" s="91">
        <v>22.5</v>
      </c>
      <c r="C19" s="105">
        <v>9.1300000000000008</v>
      </c>
      <c r="D19" s="105">
        <v>9.09</v>
      </c>
      <c r="E19" s="91">
        <v>1.04</v>
      </c>
      <c r="F19" s="91">
        <v>1.32</v>
      </c>
      <c r="G19" s="122">
        <v>365</v>
      </c>
      <c r="H19" s="122">
        <v>3390</v>
      </c>
      <c r="I19" s="124">
        <v>36800000</v>
      </c>
      <c r="J19" s="125">
        <f>LOG(I$19)-LOG(I19)</f>
        <v>0</v>
      </c>
      <c r="K19" s="124">
        <v>25300000</v>
      </c>
      <c r="L19" s="91" t="s">
        <v>26</v>
      </c>
      <c r="M19" s="119"/>
      <c r="N19" s="119"/>
      <c r="O19" s="60"/>
      <c r="P19" s="233">
        <f>B$16*A19</f>
        <v>0</v>
      </c>
      <c r="Q19" s="233">
        <f>6/LINEST($J19:$J20,$P19:$P20,FALSE)</f>
        <v>60398.396122839877</v>
      </c>
      <c r="R19" s="249">
        <f>Q19/3000</f>
        <v>20.132798707613293</v>
      </c>
      <c r="S19" s="249">
        <f>(J26/LINEST($J19:$J20,$P19:$P20,FALSE))/$B$16</f>
        <v>25.644626864229682</v>
      </c>
    </row>
    <row r="20" spans="1:19" ht="15.75" thickBot="1" x14ac:dyDescent="0.3">
      <c r="A20" s="32">
        <v>5</v>
      </c>
      <c r="B20" s="103">
        <v>22.1</v>
      </c>
      <c r="C20" s="100">
        <v>9.1</v>
      </c>
      <c r="D20" s="105">
        <v>9.75</v>
      </c>
      <c r="E20" s="58">
        <v>3200</v>
      </c>
      <c r="F20" s="58">
        <v>1.1399999999999999</v>
      </c>
      <c r="G20" s="113">
        <v>324</v>
      </c>
      <c r="H20" s="113">
        <v>3230</v>
      </c>
      <c r="I20" s="124">
        <v>1230000</v>
      </c>
      <c r="J20" s="125">
        <f>LOG(I$19)-LOG(I20)</f>
        <v>1.47594270723412</v>
      </c>
      <c r="K20" s="124">
        <v>1050000</v>
      </c>
      <c r="L20" s="50">
        <f>LOG(K19)-LOG(K20)</f>
        <v>1.3819312221058793</v>
      </c>
      <c r="M20" s="121"/>
      <c r="N20" s="121"/>
      <c r="O20" s="60"/>
      <c r="P20" s="233">
        <f>B$16*A20</f>
        <v>14857.428714357178</v>
      </c>
      <c r="Q20" s="225"/>
    </row>
    <row r="21" spans="1:19" ht="15.75" thickBot="1" x14ac:dyDescent="0.3">
      <c r="A21" s="32">
        <v>10</v>
      </c>
      <c r="B21" s="192">
        <v>22.6</v>
      </c>
      <c r="C21" s="100">
        <v>9.11</v>
      </c>
      <c r="D21" s="212">
        <v>9.83</v>
      </c>
      <c r="E21" s="58">
        <v>2900</v>
      </c>
      <c r="F21" s="100">
        <v>0.45</v>
      </c>
      <c r="G21" s="113">
        <v>322</v>
      </c>
      <c r="H21" s="113"/>
      <c r="I21" s="124">
        <v>0</v>
      </c>
      <c r="J21" s="50" t="s">
        <v>585</v>
      </c>
      <c r="K21" s="124">
        <v>0</v>
      </c>
      <c r="L21" s="50" t="s">
        <v>461</v>
      </c>
      <c r="M21" s="121"/>
      <c r="N21" s="121"/>
      <c r="O21" s="60"/>
      <c r="P21" s="233">
        <f>B$16*A21</f>
        <v>29714.857428714357</v>
      </c>
    </row>
    <row r="22" spans="1:19" ht="15.75" thickBot="1" x14ac:dyDescent="0.3">
      <c r="A22" s="32">
        <v>15</v>
      </c>
      <c r="B22" s="103">
        <v>22.7</v>
      </c>
      <c r="C22" s="100">
        <v>9.11</v>
      </c>
      <c r="D22" s="105">
        <v>9.85</v>
      </c>
      <c r="E22" s="58">
        <v>3200</v>
      </c>
      <c r="F22" s="100">
        <v>0.43</v>
      </c>
      <c r="G22" s="113">
        <v>324</v>
      </c>
      <c r="H22" s="113"/>
      <c r="I22" s="124">
        <v>0</v>
      </c>
      <c r="J22" s="50" t="s">
        <v>585</v>
      </c>
      <c r="K22" s="124">
        <v>0</v>
      </c>
      <c r="L22" s="50" t="s">
        <v>461</v>
      </c>
      <c r="M22" s="121"/>
      <c r="N22" s="121"/>
      <c r="O22" s="60"/>
      <c r="P22" s="233"/>
    </row>
    <row r="23" spans="1:19" ht="15.75" thickBot="1" x14ac:dyDescent="0.3">
      <c r="A23" s="32">
        <v>30</v>
      </c>
      <c r="B23" s="103">
        <v>23.3</v>
      </c>
      <c r="C23" s="100">
        <v>9.1300000000000008</v>
      </c>
      <c r="D23" s="105">
        <v>9.89</v>
      </c>
      <c r="E23" s="58">
        <v>3000</v>
      </c>
      <c r="F23" s="58">
        <v>0.23</v>
      </c>
      <c r="G23" s="113">
        <v>321</v>
      </c>
      <c r="H23" s="113"/>
      <c r="I23" s="124">
        <v>0</v>
      </c>
      <c r="J23" s="50" t="s">
        <v>585</v>
      </c>
      <c r="K23" s="124">
        <v>0</v>
      </c>
      <c r="L23" s="50" t="s">
        <v>461</v>
      </c>
      <c r="M23" s="121"/>
      <c r="N23" s="121"/>
      <c r="O23" s="60"/>
      <c r="P23" s="233"/>
    </row>
    <row r="24" spans="1:19" ht="15.75" thickBot="1" x14ac:dyDescent="0.3">
      <c r="A24" s="193">
        <v>60</v>
      </c>
      <c r="B24" s="103">
        <v>23.6</v>
      </c>
      <c r="C24" s="100">
        <v>9.17</v>
      </c>
      <c r="D24" s="105">
        <v>9.91</v>
      </c>
      <c r="E24" s="58">
        <v>3100</v>
      </c>
      <c r="F24" s="58">
        <v>0.46</v>
      </c>
      <c r="G24" s="113">
        <v>321</v>
      </c>
      <c r="H24" s="113">
        <v>3170</v>
      </c>
      <c r="I24" s="124">
        <v>0</v>
      </c>
      <c r="J24" s="50" t="s">
        <v>585</v>
      </c>
      <c r="K24" s="124">
        <v>0</v>
      </c>
      <c r="L24" s="50" t="s">
        <v>461</v>
      </c>
      <c r="M24" s="121">
        <v>148</v>
      </c>
      <c r="N24" s="121">
        <v>20179</v>
      </c>
      <c r="O24" s="89"/>
      <c r="P24" s="233"/>
    </row>
    <row r="25" spans="1:19" ht="15.75" thickBot="1" x14ac:dyDescent="0.3">
      <c r="A25" s="32" t="s">
        <v>497</v>
      </c>
      <c r="B25" s="103">
        <v>23.6</v>
      </c>
      <c r="C25" s="100">
        <v>9.17</v>
      </c>
      <c r="D25" s="100">
        <v>9.85</v>
      </c>
      <c r="E25" s="58">
        <v>2900</v>
      </c>
      <c r="F25" s="58">
        <v>0.25</v>
      </c>
      <c r="G25" s="113">
        <v>316</v>
      </c>
      <c r="H25" s="113">
        <v>3280</v>
      </c>
      <c r="I25" s="124">
        <v>0</v>
      </c>
      <c r="J25" s="50" t="s">
        <v>585</v>
      </c>
      <c r="K25" s="124">
        <v>0</v>
      </c>
      <c r="L25" s="50" t="s">
        <v>461</v>
      </c>
      <c r="M25" s="121">
        <v>123</v>
      </c>
      <c r="N25" s="121">
        <v>18259</v>
      </c>
      <c r="O25" s="89">
        <v>5366</v>
      </c>
      <c r="P25" s="233"/>
    </row>
    <row r="26" spans="1:19" x14ac:dyDescent="0.25">
      <c r="A26" s="142"/>
      <c r="B26" s="144">
        <f>AVERAGE(B20)</f>
        <v>22.1</v>
      </c>
      <c r="C26" s="144">
        <f>AVERAGE(C20)</f>
        <v>9.1</v>
      </c>
      <c r="D26" s="144"/>
      <c r="E26" s="145"/>
      <c r="F26" s="145"/>
      <c r="G26" s="146"/>
      <c r="H26" s="146"/>
      <c r="I26" s="147"/>
      <c r="J26" s="148">
        <v>7.57</v>
      </c>
      <c r="K26" s="147"/>
      <c r="L26" s="149"/>
      <c r="M26" s="150"/>
      <c r="N26" s="150"/>
      <c r="O26" s="151"/>
    </row>
    <row r="27" spans="1:19" x14ac:dyDescent="0.25">
      <c r="A27" s="28" t="s">
        <v>140</v>
      </c>
      <c r="B27" s="28"/>
      <c r="C27" s="199"/>
      <c r="D27" s="199"/>
      <c r="E27" s="199"/>
      <c r="F27" s="199"/>
      <c r="G27" s="176"/>
      <c r="H27" s="199"/>
      <c r="I27" s="199"/>
      <c r="J27" s="115"/>
      <c r="K27" s="199"/>
      <c r="M27" s="176"/>
      <c r="N27" s="199"/>
    </row>
    <row r="28" spans="1:19" x14ac:dyDescent="0.25">
      <c r="A28" s="28"/>
      <c r="B28" s="28" t="s">
        <v>459</v>
      </c>
      <c r="C28" s="199"/>
      <c r="D28" s="199"/>
      <c r="E28" s="199"/>
      <c r="F28" s="199"/>
      <c r="G28" s="176"/>
      <c r="H28" s="199"/>
      <c r="I28" s="199"/>
      <c r="J28" s="199"/>
      <c r="K28" s="199" t="s">
        <v>34</v>
      </c>
      <c r="L28" s="199" t="s">
        <v>34</v>
      </c>
      <c r="M28" s="176" t="s">
        <v>34</v>
      </c>
      <c r="N28" s="199" t="s">
        <v>34</v>
      </c>
    </row>
    <row r="29" spans="1:19" x14ac:dyDescent="0.25">
      <c r="A29" s="28" t="s">
        <v>272</v>
      </c>
      <c r="B29" s="28"/>
      <c r="C29" s="199"/>
      <c r="D29" s="199"/>
      <c r="E29" s="199"/>
      <c r="F29" s="199"/>
      <c r="G29" s="176"/>
      <c r="H29" s="199"/>
      <c r="I29" s="199"/>
      <c r="J29" s="199"/>
      <c r="K29" s="199" t="s">
        <v>34</v>
      </c>
      <c r="L29" s="199" t="s">
        <v>34</v>
      </c>
      <c r="M29" s="176"/>
      <c r="N29" s="199"/>
    </row>
    <row r="30" spans="1:19" x14ac:dyDescent="0.25">
      <c r="A30" s="28"/>
      <c r="F30" s="199"/>
      <c r="G30" s="176"/>
      <c r="H30" s="199"/>
      <c r="I30" s="199"/>
      <c r="J30" s="199"/>
      <c r="K30" s="199" t="s">
        <v>34</v>
      </c>
      <c r="L30" s="199" t="s">
        <v>34</v>
      </c>
      <c r="M30" s="176" t="s">
        <v>34</v>
      </c>
      <c r="N30" s="199"/>
    </row>
    <row r="31" spans="1:19" x14ac:dyDescent="0.25">
      <c r="A31" s="28"/>
      <c r="F31" s="199"/>
      <c r="G31" s="176"/>
      <c r="H31" s="199"/>
      <c r="I31" s="199"/>
      <c r="J31" s="199"/>
      <c r="K31" s="199"/>
      <c r="L31" s="199"/>
      <c r="M31" s="176"/>
      <c r="N31" s="199"/>
    </row>
    <row r="32" spans="1:19" x14ac:dyDescent="0.25">
      <c r="A32" s="19" t="s">
        <v>28</v>
      </c>
      <c r="B32" s="28"/>
      <c r="C32" s="201" t="s">
        <v>581</v>
      </c>
      <c r="D32" s="199"/>
      <c r="E32" s="199"/>
      <c r="F32" s="199"/>
      <c r="G32" s="176"/>
      <c r="H32" s="199"/>
      <c r="I32" s="199"/>
      <c r="J32" s="199"/>
      <c r="K32" s="199"/>
      <c r="L32" s="199"/>
      <c r="M32" s="176"/>
      <c r="N32" s="199"/>
      <c r="O32" s="199"/>
      <c r="P32" s="75"/>
    </row>
    <row r="33" spans="1:14" x14ac:dyDescent="0.25">
      <c r="A33" s="28"/>
      <c r="B33" s="22"/>
      <c r="C33" s="201"/>
      <c r="D33" s="199"/>
      <c r="E33" s="199"/>
      <c r="F33" s="199"/>
      <c r="G33" s="176"/>
      <c r="H33" s="199"/>
      <c r="I33" s="199"/>
      <c r="J33" s="199"/>
      <c r="K33" s="199"/>
      <c r="L33" s="199"/>
      <c r="M33" s="176"/>
      <c r="N33" s="199"/>
    </row>
    <row r="34" spans="1:14" x14ac:dyDescent="0.25">
      <c r="A34" s="28"/>
      <c r="B34" s="41"/>
      <c r="C34" s="197" t="s">
        <v>586</v>
      </c>
      <c r="D34" s="202"/>
      <c r="E34" s="196"/>
      <c r="F34" s="196"/>
      <c r="G34" s="203"/>
      <c r="H34" s="196"/>
      <c r="I34" s="196"/>
      <c r="J34" s="196"/>
      <c r="K34" s="196"/>
      <c r="L34" s="196"/>
      <c r="M34" s="176"/>
      <c r="N34" s="199"/>
    </row>
    <row r="35" spans="1:14" x14ac:dyDescent="0.25">
      <c r="A35" s="28"/>
      <c r="B35" s="41"/>
      <c r="D35" s="202"/>
      <c r="E35" s="196"/>
      <c r="F35" s="196"/>
      <c r="G35" s="203"/>
      <c r="H35" s="196"/>
      <c r="I35" s="196"/>
      <c r="J35" s="196"/>
      <c r="K35" s="196"/>
      <c r="L35" s="196"/>
      <c r="M35" s="176"/>
      <c r="N35" s="199"/>
    </row>
    <row r="36" spans="1:14" x14ac:dyDescent="0.25">
      <c r="B36" s="200"/>
      <c r="C36" s="188"/>
      <c r="D36" s="180"/>
      <c r="E36" s="180"/>
      <c r="F36" s="180"/>
      <c r="G36" s="179"/>
      <c r="H36" s="180"/>
      <c r="I36" s="180"/>
      <c r="J36" s="180"/>
      <c r="K36" s="180"/>
      <c r="L36" s="180"/>
      <c r="M36" s="179"/>
      <c r="N36" s="180"/>
    </row>
    <row r="37" spans="1:14" x14ac:dyDescent="0.25">
      <c r="B37" s="41"/>
      <c r="C37" s="94"/>
      <c r="D37" s="94"/>
      <c r="E37" s="94"/>
      <c r="F37" s="94"/>
      <c r="G37" s="160"/>
      <c r="H37" s="94"/>
      <c r="I37" s="94"/>
      <c r="J37" s="94"/>
      <c r="K37" s="94"/>
      <c r="L37" s="204"/>
    </row>
    <row r="38" spans="1:14" x14ac:dyDescent="0.25">
      <c r="B38" s="22"/>
    </row>
    <row r="39" spans="1:14" x14ac:dyDescent="0.25">
      <c r="B39" s="22"/>
    </row>
    <row r="40" spans="1:14" x14ac:dyDescent="0.25">
      <c r="B40" s="22"/>
      <c r="C40" s="199"/>
      <c r="D40" s="199"/>
      <c r="E40" s="199"/>
      <c r="F40" s="199"/>
      <c r="G40" s="176"/>
      <c r="H40" s="199"/>
      <c r="I40" s="199"/>
      <c r="J40" s="199"/>
    </row>
    <row r="41" spans="1:14" x14ac:dyDescent="0.25">
      <c r="B41" s="22"/>
    </row>
    <row r="43" spans="1:14" x14ac:dyDescent="0.25">
      <c r="B43" s="41"/>
      <c r="C43" s="196"/>
      <c r="D43" s="196"/>
      <c r="E43" s="196"/>
      <c r="F43" s="196"/>
      <c r="G43" s="203"/>
      <c r="H43" s="196"/>
      <c r="I43" s="196"/>
      <c r="J43" s="196"/>
      <c r="K43" s="196"/>
    </row>
    <row r="44" spans="1:14" x14ac:dyDescent="0.25">
      <c r="B44" s="41"/>
      <c r="C44" s="196"/>
      <c r="D44" s="196"/>
      <c r="E44" s="196"/>
      <c r="F44" s="196"/>
      <c r="G44" s="203"/>
      <c r="H44" s="196"/>
      <c r="I44" s="196"/>
      <c r="J44" s="196"/>
      <c r="K44" s="196"/>
    </row>
    <row r="45" spans="1:14" x14ac:dyDescent="0.25">
      <c r="B45" s="22"/>
      <c r="C45" s="199"/>
      <c r="D45" s="199"/>
      <c r="E45" s="199"/>
      <c r="F45" s="199"/>
      <c r="G45" s="176"/>
      <c r="H45" s="199"/>
      <c r="I45" s="199"/>
      <c r="J45" s="196"/>
      <c r="K45" s="199"/>
    </row>
  </sheetData>
  <pageMargins left="0.7" right="0.7" top="0.75" bottom="0.75" header="0.3" footer="0.3"/>
  <pageSetup scale="72" orientation="landscape" verticalDpi="597" r:id="rId1"/>
  <drawing r:id="rId2"/>
  <legacyDrawing r:id="rId3"/>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5">
    <tabColor rgb="FFFFFF00"/>
    <pageSetUpPr fitToPage="1"/>
  </sheetPr>
  <dimension ref="A6:S45"/>
  <sheetViews>
    <sheetView zoomScale="90" zoomScaleNormal="90" workbookViewId="0"/>
  </sheetViews>
  <sheetFormatPr defaultRowHeight="15" x14ac:dyDescent="0.25"/>
  <cols>
    <col min="1" max="1" width="7.140625" customWidth="1"/>
    <col min="2" max="2" width="11.140625" customWidth="1"/>
    <col min="3" max="3" width="6.42578125" style="178" customWidth="1"/>
    <col min="4" max="4" width="8.85546875" style="178" customWidth="1"/>
    <col min="5" max="5" width="8.140625" style="178" customWidth="1"/>
    <col min="6" max="6" width="8.85546875" style="178" customWidth="1"/>
    <col min="7" max="7" width="9.140625" style="177" customWidth="1"/>
    <col min="8" max="8" width="9.42578125" style="178" customWidth="1"/>
    <col min="9" max="9" width="9.140625" style="178"/>
    <col min="10" max="10" width="7.7109375" style="178" customWidth="1"/>
    <col min="11" max="11" width="9.140625" style="178"/>
    <col min="12" max="12" width="11" style="178" customWidth="1"/>
    <col min="13" max="13" width="6.7109375" style="177" customWidth="1"/>
    <col min="14" max="14" width="10.28515625" style="178" customWidth="1"/>
    <col min="15" max="15" width="9.140625" style="178"/>
  </cols>
  <sheetData>
    <row r="6" spans="1:15" x14ac:dyDescent="0.25">
      <c r="A6" s="7" t="s">
        <v>12</v>
      </c>
      <c r="B6" s="28"/>
      <c r="C6" s="205"/>
      <c r="D6" s="205"/>
      <c r="E6" s="205"/>
      <c r="F6" s="205"/>
      <c r="G6" s="176"/>
      <c r="H6" s="205"/>
      <c r="I6" s="205"/>
      <c r="J6" s="205"/>
      <c r="K6" s="205"/>
      <c r="L6" s="205"/>
      <c r="M6" s="176"/>
      <c r="N6" s="205"/>
      <c r="O6" s="205"/>
    </row>
    <row r="7" spans="1:15" x14ac:dyDescent="0.25">
      <c r="A7" s="30" t="s">
        <v>13</v>
      </c>
      <c r="B7" s="128">
        <v>41505</v>
      </c>
    </row>
    <row r="8" spans="1:15" x14ac:dyDescent="0.25">
      <c r="A8" s="28" t="s">
        <v>14</v>
      </c>
      <c r="B8" s="205" t="s">
        <v>587</v>
      </c>
      <c r="C8" s="205"/>
      <c r="D8" s="205"/>
      <c r="E8" s="205"/>
      <c r="F8" s="205"/>
      <c r="G8" s="176"/>
      <c r="H8" s="205"/>
      <c r="I8" s="205"/>
      <c r="J8" s="205"/>
      <c r="K8" s="205" t="s">
        <v>34</v>
      </c>
      <c r="L8" s="205" t="s">
        <v>34</v>
      </c>
      <c r="M8" s="176"/>
      <c r="N8" s="205"/>
    </row>
    <row r="9" spans="1:15" x14ac:dyDescent="0.25">
      <c r="A9" s="28" t="s">
        <v>15</v>
      </c>
      <c r="B9" s="205">
        <v>13</v>
      </c>
      <c r="C9" s="211" t="s">
        <v>577</v>
      </c>
      <c r="D9" s="205"/>
      <c r="E9" s="205"/>
      <c r="F9" s="205"/>
      <c r="G9" s="176"/>
      <c r="H9" s="205"/>
      <c r="I9" s="205"/>
      <c r="J9" s="205"/>
      <c r="K9" s="205"/>
      <c r="L9" s="205"/>
      <c r="M9" s="176"/>
      <c r="N9" s="205"/>
    </row>
    <row r="10" spans="1:15" x14ac:dyDescent="0.25">
      <c r="A10" s="28" t="s">
        <v>16</v>
      </c>
      <c r="B10" s="31">
        <v>2000</v>
      </c>
      <c r="C10" s="31" t="s">
        <v>578</v>
      </c>
      <c r="D10" s="205"/>
      <c r="E10" s="205"/>
      <c r="F10" s="205"/>
      <c r="G10" s="176"/>
      <c r="H10" s="205"/>
      <c r="I10" s="205" t="s">
        <v>34</v>
      </c>
      <c r="J10" s="205" t="s">
        <v>34</v>
      </c>
      <c r="K10" s="205" t="s">
        <v>34</v>
      </c>
      <c r="L10" s="205" t="s">
        <v>34</v>
      </c>
      <c r="M10" s="176" t="s">
        <v>34</v>
      </c>
      <c r="N10" s="205" t="s">
        <v>34</v>
      </c>
    </row>
    <row r="11" spans="1:15" x14ac:dyDescent="0.25">
      <c r="A11" s="28"/>
      <c r="B11" s="238">
        <v>1300000000</v>
      </c>
      <c r="C11" s="31" t="s">
        <v>584</v>
      </c>
      <c r="D11" s="205"/>
      <c r="E11" s="205"/>
      <c r="F11" s="205"/>
      <c r="G11" s="176"/>
      <c r="H11" s="205"/>
      <c r="I11" s="205"/>
      <c r="J11" s="205"/>
      <c r="K11" s="205" t="s">
        <v>34</v>
      </c>
      <c r="L11" s="205"/>
      <c r="M11" s="176"/>
      <c r="N11" s="205"/>
    </row>
    <row r="12" spans="1:15" x14ac:dyDescent="0.25">
      <c r="A12" s="28"/>
      <c r="B12" s="31">
        <v>99</v>
      </c>
      <c r="C12" s="31" t="s">
        <v>579</v>
      </c>
      <c r="D12" s="205"/>
      <c r="E12" s="205"/>
      <c r="F12" s="205"/>
      <c r="G12" s="176"/>
      <c r="H12" s="205"/>
      <c r="I12" s="205"/>
      <c r="J12" s="205"/>
      <c r="K12" s="205"/>
      <c r="L12" s="205"/>
      <c r="M12" s="176"/>
      <c r="N12" s="205"/>
    </row>
    <row r="13" spans="1:15" x14ac:dyDescent="0.25">
      <c r="A13" s="28"/>
      <c r="B13" s="244">
        <v>6</v>
      </c>
      <c r="C13" s="28" t="s">
        <v>697</v>
      </c>
      <c r="D13" s="251"/>
      <c r="E13" s="251"/>
      <c r="F13" s="251"/>
      <c r="G13" s="176"/>
      <c r="H13" s="251"/>
      <c r="I13" s="251"/>
      <c r="J13" s="251"/>
      <c r="K13" s="251"/>
      <c r="L13" s="251"/>
      <c r="M13" s="176"/>
      <c r="N13" s="251"/>
    </row>
    <row r="14" spans="1:15" x14ac:dyDescent="0.25">
      <c r="A14" s="28"/>
      <c r="B14" s="244">
        <v>100</v>
      </c>
      <c r="C14" s="87" t="s">
        <v>696</v>
      </c>
      <c r="D14" s="251"/>
      <c r="E14" s="251"/>
      <c r="F14" s="251"/>
      <c r="G14" s="176"/>
      <c r="H14" s="251"/>
      <c r="I14" s="251"/>
      <c r="J14" s="251"/>
      <c r="K14" s="251"/>
      <c r="L14" s="251"/>
      <c r="M14" s="176"/>
      <c r="N14" s="251"/>
    </row>
    <row r="15" spans="1:15" x14ac:dyDescent="0.25">
      <c r="A15" s="28"/>
      <c r="B15" s="244">
        <v>0</v>
      </c>
      <c r="C15" s="87" t="s">
        <v>698</v>
      </c>
      <c r="D15" s="251"/>
      <c r="E15" s="251"/>
      <c r="F15" s="251"/>
      <c r="G15" s="176"/>
      <c r="H15" s="251"/>
      <c r="I15" s="251"/>
      <c r="J15" s="251"/>
      <c r="K15" s="251"/>
      <c r="L15" s="251"/>
      <c r="M15" s="176"/>
      <c r="N15" s="251"/>
    </row>
    <row r="16" spans="1:15" x14ac:dyDescent="0.25">
      <c r="A16" s="28"/>
      <c r="B16" s="245">
        <f>(B12*B13/100*1000)/(B10+B12-B14+B15)*1000</f>
        <v>2971.4857428714358</v>
      </c>
      <c r="C16" s="28" t="s">
        <v>700</v>
      </c>
      <c r="D16" s="251"/>
      <c r="E16" s="251"/>
      <c r="F16" s="251"/>
      <c r="G16" s="176"/>
      <c r="H16" s="251"/>
      <c r="I16" s="251"/>
      <c r="J16" s="251"/>
      <c r="K16" s="251"/>
      <c r="L16" s="251"/>
      <c r="M16" s="176"/>
      <c r="N16" s="251"/>
    </row>
    <row r="17" spans="1:19" ht="15.75" thickBot="1" x14ac:dyDescent="0.3">
      <c r="A17" s="28"/>
      <c r="B17" s="28" t="s">
        <v>647</v>
      </c>
      <c r="C17" s="28"/>
      <c r="D17" s="205"/>
      <c r="E17" s="205"/>
      <c r="F17" s="205"/>
      <c r="G17" s="176"/>
      <c r="H17" s="205"/>
      <c r="I17" s="205"/>
      <c r="J17" s="205"/>
      <c r="K17" s="205"/>
      <c r="L17" s="205"/>
      <c r="M17" s="176"/>
      <c r="N17" s="205"/>
    </row>
    <row r="18" spans="1:19" ht="90" thickBot="1" x14ac:dyDescent="0.3">
      <c r="A18" s="10" t="s">
        <v>29</v>
      </c>
      <c r="B18" s="11" t="s">
        <v>17</v>
      </c>
      <c r="C18" s="11" t="s">
        <v>30</v>
      </c>
      <c r="D18" s="11" t="s">
        <v>31</v>
      </c>
      <c r="E18" s="11" t="s">
        <v>32</v>
      </c>
      <c r="F18" s="11" t="s">
        <v>33</v>
      </c>
      <c r="G18" s="161" t="s">
        <v>202</v>
      </c>
      <c r="H18" s="11" t="s">
        <v>19</v>
      </c>
      <c r="I18" s="12" t="s">
        <v>20</v>
      </c>
      <c r="J18" s="11" t="s">
        <v>21</v>
      </c>
      <c r="K18" s="13" t="s">
        <v>22</v>
      </c>
      <c r="L18" s="11" t="s">
        <v>21</v>
      </c>
      <c r="M18" s="156" t="s">
        <v>23</v>
      </c>
      <c r="N18" s="14" t="s">
        <v>24</v>
      </c>
      <c r="O18" s="14" t="s">
        <v>25</v>
      </c>
      <c r="P18" s="14" t="s">
        <v>678</v>
      </c>
      <c r="Q18" s="14" t="s">
        <v>681</v>
      </c>
      <c r="R18" s="14" t="s">
        <v>897</v>
      </c>
      <c r="S18" s="14" t="s">
        <v>729</v>
      </c>
    </row>
    <row r="19" spans="1:19" ht="15.75" thickBot="1" x14ac:dyDescent="0.3">
      <c r="A19" s="32">
        <v>0</v>
      </c>
      <c r="B19" s="91">
        <v>20.100000000000001</v>
      </c>
      <c r="C19" s="105">
        <v>9.14</v>
      </c>
      <c r="D19" s="105">
        <v>9.2200000000000006</v>
      </c>
      <c r="E19" s="91">
        <v>1.72</v>
      </c>
      <c r="F19" s="91">
        <v>1.1599999999999999</v>
      </c>
      <c r="G19" s="122">
        <v>369</v>
      </c>
      <c r="H19" s="122">
        <v>3300</v>
      </c>
      <c r="I19" s="124">
        <v>21000000</v>
      </c>
      <c r="J19" s="125">
        <f>LOG(I$19)-LOG(I19)</f>
        <v>0</v>
      </c>
      <c r="K19" s="124">
        <v>25700000</v>
      </c>
      <c r="L19" s="91" t="s">
        <v>26</v>
      </c>
      <c r="M19" s="119"/>
      <c r="N19" s="119"/>
      <c r="O19" s="60"/>
      <c r="P19" s="233">
        <f>B$16*A19</f>
        <v>0</v>
      </c>
      <c r="Q19" s="233">
        <f>6/LINEST($J19:$J20,$P19:$P20,FALSE)</f>
        <v>77778.895124391958</v>
      </c>
      <c r="R19" s="249">
        <f>Q19/3000</f>
        <v>25.926298374797319</v>
      </c>
      <c r="S19" s="249">
        <f>(J26/LINEST($J19:$J20,$P19:$P20,FALSE))/$B$16</f>
        <v>31.933605025499098</v>
      </c>
    </row>
    <row r="20" spans="1:19" ht="15.75" thickBot="1" x14ac:dyDescent="0.3">
      <c r="A20" s="32">
        <v>5</v>
      </c>
      <c r="B20" s="103">
        <v>19.899999999999999</v>
      </c>
      <c r="C20" s="100">
        <v>9.14</v>
      </c>
      <c r="D20" s="105">
        <v>9.85</v>
      </c>
      <c r="E20" s="58">
        <v>2800</v>
      </c>
      <c r="F20" s="58">
        <v>1.24</v>
      </c>
      <c r="G20" s="113">
        <v>326</v>
      </c>
      <c r="H20" s="113">
        <v>3390</v>
      </c>
      <c r="I20" s="124">
        <v>1500000</v>
      </c>
      <c r="J20" s="125">
        <f>LOG(I$19)-LOG(I20)</f>
        <v>1.1461280356782382</v>
      </c>
      <c r="K20" s="124">
        <v>1040000</v>
      </c>
      <c r="L20" s="50">
        <f>LOG(K19)-LOG(K20)</f>
        <v>1.3928997840325135</v>
      </c>
      <c r="M20" s="121"/>
      <c r="N20" s="121"/>
      <c r="O20" s="60"/>
      <c r="P20" s="233">
        <f>B$16*A20</f>
        <v>14857.428714357178</v>
      </c>
      <c r="Q20" s="225"/>
    </row>
    <row r="21" spans="1:19" ht="15.75" thickBot="1" x14ac:dyDescent="0.3">
      <c r="A21" s="32">
        <v>10</v>
      </c>
      <c r="B21" s="192">
        <v>19.8</v>
      </c>
      <c r="C21" s="100">
        <v>9.1300000000000008</v>
      </c>
      <c r="D21" s="212">
        <v>9.93</v>
      </c>
      <c r="E21" s="58">
        <v>2900</v>
      </c>
      <c r="F21" s="100">
        <v>0.24</v>
      </c>
      <c r="G21" s="113">
        <v>328</v>
      </c>
      <c r="H21" s="113"/>
      <c r="I21" s="124">
        <v>0</v>
      </c>
      <c r="J21" s="50" t="s">
        <v>462</v>
      </c>
      <c r="K21" s="124">
        <v>0</v>
      </c>
      <c r="L21" s="50" t="s">
        <v>588</v>
      </c>
      <c r="M21" s="121"/>
      <c r="N21" s="121"/>
      <c r="O21" s="60"/>
      <c r="P21" s="233">
        <f>B$16*A21</f>
        <v>29714.857428714357</v>
      </c>
    </row>
    <row r="22" spans="1:19" ht="15.75" thickBot="1" x14ac:dyDescent="0.3">
      <c r="A22" s="32">
        <v>15</v>
      </c>
      <c r="B22" s="103">
        <v>19.7</v>
      </c>
      <c r="C22" s="100">
        <v>9.1199999999999992</v>
      </c>
      <c r="D22" s="105">
        <v>9.98</v>
      </c>
      <c r="E22" s="58">
        <v>3000</v>
      </c>
      <c r="F22" s="100">
        <v>1.37</v>
      </c>
      <c r="G22" s="113">
        <v>328</v>
      </c>
      <c r="H22" s="113"/>
      <c r="I22" s="124">
        <v>0</v>
      </c>
      <c r="J22" s="50" t="s">
        <v>462</v>
      </c>
      <c r="K22" s="124">
        <v>0</v>
      </c>
      <c r="L22" s="50" t="s">
        <v>588</v>
      </c>
      <c r="M22" s="121"/>
      <c r="N22" s="121"/>
      <c r="O22" s="60"/>
      <c r="P22" s="233"/>
    </row>
    <row r="23" spans="1:19" ht="15.75" thickBot="1" x14ac:dyDescent="0.3">
      <c r="A23" s="32">
        <v>30</v>
      </c>
      <c r="B23" s="103">
        <v>18.600000000000001</v>
      </c>
      <c r="C23" s="100">
        <v>9.1199999999999992</v>
      </c>
      <c r="D23" s="105">
        <v>10.01</v>
      </c>
      <c r="E23" s="58">
        <v>2900</v>
      </c>
      <c r="F23" s="58">
        <v>1.47</v>
      </c>
      <c r="G23" s="113">
        <v>330</v>
      </c>
      <c r="H23" s="113"/>
      <c r="I23" s="124">
        <v>0</v>
      </c>
      <c r="J23" s="50" t="s">
        <v>462</v>
      </c>
      <c r="K23" s="124">
        <v>0</v>
      </c>
      <c r="L23" s="50" t="s">
        <v>588</v>
      </c>
      <c r="M23" s="121"/>
      <c r="N23" s="121"/>
      <c r="O23" s="60"/>
      <c r="P23" s="233"/>
    </row>
    <row r="24" spans="1:19" ht="15.75" thickBot="1" x14ac:dyDescent="0.3">
      <c r="A24" s="193">
        <v>60</v>
      </c>
      <c r="B24" s="103">
        <v>18.100000000000001</v>
      </c>
      <c r="C24" s="100">
        <v>9.1300000000000008</v>
      </c>
      <c r="D24" s="105">
        <v>9.9600000000000009</v>
      </c>
      <c r="E24" s="58">
        <v>2800</v>
      </c>
      <c r="F24" s="58">
        <v>1.49</v>
      </c>
      <c r="G24" s="113">
        <v>325</v>
      </c>
      <c r="H24" s="113">
        <v>3470</v>
      </c>
      <c r="I24" s="124">
        <v>0</v>
      </c>
      <c r="J24" s="50" t="s">
        <v>462</v>
      </c>
      <c r="K24" s="124">
        <v>0</v>
      </c>
      <c r="L24" s="50" t="s">
        <v>588</v>
      </c>
      <c r="M24" s="121">
        <v>322</v>
      </c>
      <c r="N24" s="121">
        <v>20197</v>
      </c>
      <c r="O24" s="89"/>
      <c r="P24" s="233"/>
    </row>
    <row r="25" spans="1:19" ht="15.75" thickBot="1" x14ac:dyDescent="0.3">
      <c r="A25" s="32" t="s">
        <v>497</v>
      </c>
      <c r="B25" s="103">
        <v>18.100000000000001</v>
      </c>
      <c r="C25" s="100">
        <v>9.1300000000000008</v>
      </c>
      <c r="D25" s="100">
        <v>10.07</v>
      </c>
      <c r="E25" s="58">
        <v>2900</v>
      </c>
      <c r="F25" s="58">
        <v>1.43</v>
      </c>
      <c r="G25" s="113">
        <v>327</v>
      </c>
      <c r="H25" s="113">
        <v>3300</v>
      </c>
      <c r="I25" s="124">
        <v>0</v>
      </c>
      <c r="J25" s="50" t="s">
        <v>462</v>
      </c>
      <c r="K25" s="124">
        <v>0</v>
      </c>
      <c r="L25" s="50" t="s">
        <v>588</v>
      </c>
      <c r="M25" s="121">
        <v>300</v>
      </c>
      <c r="N25" s="121">
        <v>19935</v>
      </c>
      <c r="O25" s="89">
        <v>5400</v>
      </c>
      <c r="P25" s="233"/>
    </row>
    <row r="26" spans="1:19" x14ac:dyDescent="0.25">
      <c r="A26" s="142"/>
      <c r="B26" s="143">
        <v>19.899999999999999</v>
      </c>
      <c r="C26" s="144">
        <v>9.14</v>
      </c>
      <c r="D26" s="144"/>
      <c r="E26" s="145"/>
      <c r="F26" s="145"/>
      <c r="G26" s="146"/>
      <c r="H26" s="146"/>
      <c r="I26" s="147"/>
      <c r="J26" s="148">
        <v>7.32</v>
      </c>
      <c r="K26" s="147"/>
      <c r="L26" s="149"/>
      <c r="M26" s="150"/>
      <c r="N26" s="150"/>
      <c r="O26" s="151"/>
    </row>
    <row r="27" spans="1:19" x14ac:dyDescent="0.25">
      <c r="A27" s="28" t="s">
        <v>140</v>
      </c>
      <c r="B27" s="28"/>
      <c r="C27" s="205"/>
      <c r="D27" s="205"/>
      <c r="E27" s="205"/>
      <c r="F27" s="205"/>
      <c r="G27" s="176"/>
      <c r="H27" s="205"/>
      <c r="I27" s="205"/>
      <c r="J27" s="115"/>
      <c r="K27" s="205"/>
      <c r="M27" s="176"/>
      <c r="N27" s="205"/>
    </row>
    <row r="28" spans="1:19" x14ac:dyDescent="0.25">
      <c r="A28" s="28"/>
      <c r="B28" s="28" t="s">
        <v>459</v>
      </c>
      <c r="C28" s="205"/>
      <c r="D28" s="205"/>
      <c r="E28" s="205"/>
      <c r="F28" s="205"/>
      <c r="G28" s="176"/>
      <c r="H28" s="205"/>
      <c r="I28" s="205"/>
      <c r="J28" s="205"/>
      <c r="K28" s="205" t="s">
        <v>34</v>
      </c>
      <c r="L28" s="205" t="s">
        <v>34</v>
      </c>
      <c r="M28" s="176" t="s">
        <v>34</v>
      </c>
      <c r="N28" s="205" t="s">
        <v>34</v>
      </c>
    </row>
    <row r="29" spans="1:19" x14ac:dyDescent="0.25">
      <c r="A29" s="28" t="s">
        <v>272</v>
      </c>
      <c r="B29" s="28"/>
      <c r="C29" s="205"/>
      <c r="D29" s="205"/>
      <c r="E29" s="205"/>
      <c r="F29" s="205"/>
      <c r="G29" s="176"/>
      <c r="H29" s="205"/>
      <c r="I29" s="205"/>
      <c r="J29" s="205"/>
      <c r="K29" s="205" t="s">
        <v>34</v>
      </c>
      <c r="L29" s="205" t="s">
        <v>34</v>
      </c>
      <c r="M29" s="176"/>
      <c r="N29" s="205"/>
    </row>
    <row r="30" spans="1:19" x14ac:dyDescent="0.25">
      <c r="A30" s="28"/>
      <c r="F30" s="205"/>
      <c r="G30" s="176"/>
      <c r="H30" s="205"/>
      <c r="I30" s="205"/>
      <c r="J30" s="205"/>
      <c r="K30" s="205" t="s">
        <v>34</v>
      </c>
      <c r="L30" s="205" t="s">
        <v>34</v>
      </c>
      <c r="M30" s="176" t="s">
        <v>34</v>
      </c>
      <c r="N30" s="205"/>
    </row>
    <row r="31" spans="1:19" x14ac:dyDescent="0.25">
      <c r="A31" s="28"/>
      <c r="F31" s="205"/>
      <c r="G31" s="176"/>
      <c r="H31" s="205"/>
      <c r="I31" s="205"/>
      <c r="J31" s="205"/>
      <c r="K31" s="205"/>
      <c r="L31" s="205"/>
      <c r="M31" s="176"/>
      <c r="N31" s="205"/>
    </row>
    <row r="32" spans="1:19" x14ac:dyDescent="0.25">
      <c r="A32" s="19" t="s">
        <v>28</v>
      </c>
      <c r="B32" s="28"/>
      <c r="C32" s="207" t="s">
        <v>581</v>
      </c>
      <c r="D32" s="205"/>
      <c r="E32" s="205"/>
      <c r="F32" s="205"/>
      <c r="G32" s="176"/>
      <c r="H32" s="205"/>
      <c r="I32" s="205"/>
      <c r="J32" s="205"/>
      <c r="K32" s="205"/>
      <c r="L32" s="205"/>
      <c r="M32" s="176"/>
      <c r="N32" s="205"/>
      <c r="O32" s="205"/>
      <c r="P32" s="75"/>
    </row>
    <row r="33" spans="1:14" x14ac:dyDescent="0.25">
      <c r="A33" s="28"/>
      <c r="B33" s="22"/>
      <c r="C33" s="207" t="s">
        <v>600</v>
      </c>
      <c r="D33" s="205"/>
      <c r="E33" s="205"/>
      <c r="F33" s="205"/>
      <c r="G33" s="176"/>
      <c r="H33" s="205"/>
      <c r="I33" s="205"/>
      <c r="J33" s="205"/>
      <c r="K33" s="205"/>
      <c r="L33" s="205"/>
      <c r="M33" s="176"/>
      <c r="N33" s="205"/>
    </row>
    <row r="34" spans="1:14" x14ac:dyDescent="0.25">
      <c r="A34" s="28"/>
      <c r="B34" s="41"/>
      <c r="C34" s="197" t="s">
        <v>586</v>
      </c>
      <c r="D34" s="202"/>
      <c r="E34" s="196"/>
      <c r="F34" s="196"/>
      <c r="G34" s="203"/>
      <c r="H34" s="196"/>
      <c r="I34" s="196"/>
      <c r="J34" s="196"/>
      <c r="K34" s="196"/>
      <c r="L34" s="196"/>
      <c r="M34" s="176"/>
      <c r="N34" s="205"/>
    </row>
    <row r="35" spans="1:14" x14ac:dyDescent="0.25">
      <c r="A35" s="28"/>
      <c r="B35" s="41"/>
      <c r="D35" s="202"/>
      <c r="E35" s="196"/>
      <c r="F35" s="196"/>
      <c r="G35" s="203"/>
      <c r="H35" s="196"/>
      <c r="I35" s="196"/>
      <c r="J35" s="196"/>
      <c r="K35" s="196"/>
      <c r="L35" s="196"/>
      <c r="M35" s="176"/>
      <c r="N35" s="205"/>
    </row>
    <row r="36" spans="1:14" x14ac:dyDescent="0.25">
      <c r="B36" s="206"/>
      <c r="C36" s="188"/>
      <c r="D36" s="180"/>
      <c r="E36" s="180"/>
      <c r="F36" s="180"/>
      <c r="G36" s="179"/>
      <c r="H36" s="180"/>
      <c r="I36" s="180"/>
      <c r="J36" s="180"/>
      <c r="K36" s="180"/>
      <c r="L36" s="180"/>
      <c r="M36" s="179"/>
      <c r="N36" s="180"/>
    </row>
    <row r="37" spans="1:14" x14ac:dyDescent="0.25">
      <c r="B37" s="41"/>
      <c r="C37" s="94"/>
      <c r="D37" s="94"/>
      <c r="E37" s="94"/>
      <c r="F37" s="94"/>
      <c r="G37" s="160"/>
      <c r="H37" s="94"/>
      <c r="I37" s="94"/>
      <c r="J37" s="94"/>
      <c r="K37" s="94"/>
      <c r="L37" s="204"/>
    </row>
    <row r="38" spans="1:14" x14ac:dyDescent="0.25">
      <c r="B38" s="22"/>
    </row>
    <row r="39" spans="1:14" x14ac:dyDescent="0.25">
      <c r="B39" s="22"/>
    </row>
    <row r="40" spans="1:14" x14ac:dyDescent="0.25">
      <c r="B40" s="22"/>
      <c r="C40" s="205"/>
      <c r="D40" s="205"/>
      <c r="E40" s="205"/>
      <c r="F40" s="205"/>
      <c r="G40" s="176"/>
      <c r="H40" s="205"/>
      <c r="I40" s="205"/>
      <c r="J40" s="205"/>
    </row>
    <row r="41" spans="1:14" x14ac:dyDescent="0.25">
      <c r="B41" s="22"/>
    </row>
    <row r="43" spans="1:14" x14ac:dyDescent="0.25">
      <c r="B43" s="41"/>
      <c r="C43" s="196"/>
      <c r="D43" s="196"/>
      <c r="E43" s="196"/>
      <c r="F43" s="196"/>
      <c r="G43" s="203"/>
      <c r="H43" s="196"/>
      <c r="I43" s="196"/>
      <c r="J43" s="196"/>
      <c r="K43" s="196"/>
    </row>
    <row r="44" spans="1:14" x14ac:dyDescent="0.25">
      <c r="B44" s="41"/>
      <c r="C44" s="196"/>
      <c r="D44" s="196"/>
      <c r="E44" s="196"/>
      <c r="F44" s="196"/>
      <c r="G44" s="203"/>
      <c r="H44" s="196"/>
      <c r="I44" s="196"/>
      <c r="J44" s="196"/>
      <c r="K44" s="196"/>
    </row>
    <row r="45" spans="1:14" x14ac:dyDescent="0.25">
      <c r="B45" s="22"/>
      <c r="C45" s="205"/>
      <c r="D45" s="205"/>
      <c r="E45" s="205"/>
      <c r="F45" s="205"/>
      <c r="G45" s="176"/>
      <c r="H45" s="205"/>
      <c r="I45" s="205"/>
      <c r="J45" s="196"/>
      <c r="K45" s="205"/>
    </row>
  </sheetData>
  <pageMargins left="0.7" right="0.7" top="0.75" bottom="0.75" header="0.3" footer="0.3"/>
  <pageSetup scale="72" orientation="landscape" verticalDpi="597" r:id="rId1"/>
  <drawing r:id="rId2"/>
  <legacyDrawing r:id="rId3"/>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6">
    <tabColor rgb="FF7030A0"/>
    <pageSetUpPr fitToPage="1"/>
  </sheetPr>
  <dimension ref="A6:S44"/>
  <sheetViews>
    <sheetView zoomScale="90" zoomScaleNormal="90" workbookViewId="0"/>
  </sheetViews>
  <sheetFormatPr defaultRowHeight="15" x14ac:dyDescent="0.25"/>
  <cols>
    <col min="1" max="1" width="7.140625" customWidth="1"/>
    <col min="2" max="2" width="11.140625" customWidth="1"/>
    <col min="3" max="3" width="6.42578125" style="178" customWidth="1"/>
    <col min="4" max="4" width="8.85546875" style="178" customWidth="1"/>
    <col min="5" max="5" width="8.140625" style="178" customWidth="1"/>
    <col min="6" max="6" width="8.85546875" style="178" customWidth="1"/>
    <col min="7" max="7" width="9.140625" style="177" customWidth="1"/>
    <col min="8" max="8" width="9.42578125" style="178" customWidth="1"/>
    <col min="9" max="9" width="9.140625" style="178"/>
    <col min="10" max="10" width="7.7109375" style="178" customWidth="1"/>
    <col min="11" max="11" width="9.140625" style="178"/>
    <col min="12" max="12" width="11" style="178" customWidth="1"/>
    <col min="13" max="13" width="6.7109375" style="177" customWidth="1"/>
    <col min="14" max="14" width="10.28515625" style="178" customWidth="1"/>
    <col min="15" max="15" width="9.140625" style="178"/>
  </cols>
  <sheetData>
    <row r="6" spans="1:15" x14ac:dyDescent="0.25">
      <c r="A6" s="7" t="s">
        <v>12</v>
      </c>
      <c r="B6" s="28"/>
      <c r="C6" s="208"/>
      <c r="D6" s="208"/>
      <c r="E6" s="208"/>
      <c r="F6" s="208"/>
      <c r="G6" s="176"/>
      <c r="H6" s="208"/>
      <c r="I6" s="208"/>
      <c r="J6" s="208"/>
      <c r="K6" s="208"/>
      <c r="L6" s="208"/>
      <c r="M6" s="176"/>
      <c r="N6" s="208"/>
      <c r="O6" s="208"/>
    </row>
    <row r="7" spans="1:15" x14ac:dyDescent="0.25">
      <c r="A7" s="30" t="s">
        <v>13</v>
      </c>
      <c r="B7" s="128">
        <v>41512</v>
      </c>
    </row>
    <row r="8" spans="1:15" x14ac:dyDescent="0.25">
      <c r="A8" s="28" t="s">
        <v>14</v>
      </c>
      <c r="B8" s="208" t="s">
        <v>589</v>
      </c>
      <c r="C8" s="208"/>
      <c r="D8" s="208"/>
      <c r="E8" s="208"/>
      <c r="F8" s="208"/>
      <c r="G8" s="176"/>
      <c r="H8" s="208"/>
      <c r="I8" s="208"/>
      <c r="J8" s="208"/>
      <c r="K8" s="208" t="s">
        <v>34</v>
      </c>
      <c r="L8" s="208" t="s">
        <v>34</v>
      </c>
      <c r="M8" s="176"/>
      <c r="N8" s="208"/>
    </row>
    <row r="9" spans="1:15" x14ac:dyDescent="0.25">
      <c r="A9" s="28" t="s">
        <v>15</v>
      </c>
      <c r="B9" s="208">
        <v>13</v>
      </c>
      <c r="C9" s="211" t="s">
        <v>577</v>
      </c>
      <c r="D9" s="208"/>
      <c r="E9" s="208"/>
      <c r="F9" s="208"/>
      <c r="G9" s="176"/>
      <c r="H9" s="208"/>
      <c r="I9" s="208"/>
      <c r="J9" s="208"/>
      <c r="K9" s="208"/>
      <c r="L9" s="208"/>
      <c r="M9" s="176"/>
      <c r="N9" s="208"/>
    </row>
    <row r="10" spans="1:15" x14ac:dyDescent="0.25">
      <c r="A10" s="28" t="s">
        <v>16</v>
      </c>
      <c r="B10" s="244">
        <v>2000</v>
      </c>
      <c r="C10" s="31" t="s">
        <v>578</v>
      </c>
      <c r="D10" s="208"/>
      <c r="E10" s="208"/>
      <c r="F10" s="208"/>
      <c r="G10" s="176"/>
      <c r="H10" s="208"/>
      <c r="I10" s="208"/>
      <c r="K10" s="208" t="s">
        <v>34</v>
      </c>
      <c r="L10" s="208" t="s">
        <v>34</v>
      </c>
      <c r="M10" s="176" t="s">
        <v>34</v>
      </c>
      <c r="N10" s="208" t="s">
        <v>34</v>
      </c>
    </row>
    <row r="11" spans="1:15" x14ac:dyDescent="0.25">
      <c r="A11" s="28"/>
      <c r="B11" s="256">
        <v>1300000000</v>
      </c>
      <c r="C11" s="31" t="s">
        <v>584</v>
      </c>
      <c r="D11" s="208"/>
      <c r="E11" s="208"/>
      <c r="F11" s="208"/>
      <c r="G11" s="176"/>
      <c r="H11" s="208"/>
      <c r="I11" s="208"/>
      <c r="J11" s="208"/>
      <c r="K11" s="208" t="s">
        <v>34</v>
      </c>
      <c r="L11" s="208"/>
      <c r="M11" s="176"/>
      <c r="N11" s="208"/>
    </row>
    <row r="12" spans="1:15" x14ac:dyDescent="0.25">
      <c r="A12" s="28"/>
      <c r="B12" s="244">
        <v>99</v>
      </c>
      <c r="C12" s="31" t="s">
        <v>579</v>
      </c>
      <c r="D12" s="208"/>
      <c r="E12" s="208"/>
      <c r="F12" s="208"/>
      <c r="G12" s="176"/>
      <c r="H12" s="208"/>
      <c r="I12" s="208"/>
      <c r="J12" s="208"/>
      <c r="K12" s="208"/>
      <c r="L12" s="208"/>
      <c r="M12" s="176"/>
      <c r="N12" s="208"/>
    </row>
    <row r="13" spans="1:15" x14ac:dyDescent="0.25">
      <c r="A13" s="28"/>
      <c r="B13" s="244">
        <v>6</v>
      </c>
      <c r="C13" s="28" t="s">
        <v>697</v>
      </c>
      <c r="D13" s="251"/>
      <c r="E13" s="251"/>
      <c r="F13" s="251"/>
      <c r="G13" s="176"/>
      <c r="H13" s="251"/>
      <c r="I13" s="251"/>
      <c r="J13" s="251"/>
      <c r="K13" s="251"/>
      <c r="L13" s="251"/>
      <c r="M13" s="176"/>
      <c r="N13" s="251"/>
    </row>
    <row r="14" spans="1:15" x14ac:dyDescent="0.25">
      <c r="A14" s="28"/>
      <c r="B14" s="244">
        <v>100</v>
      </c>
      <c r="C14" s="87" t="s">
        <v>696</v>
      </c>
      <c r="D14" s="251"/>
      <c r="E14" s="251"/>
      <c r="F14" s="251"/>
      <c r="G14" s="176"/>
      <c r="H14" s="251"/>
      <c r="I14" s="251"/>
      <c r="J14" s="251"/>
      <c r="K14" s="251"/>
      <c r="L14" s="251"/>
      <c r="M14" s="176"/>
      <c r="N14" s="251"/>
    </row>
    <row r="15" spans="1:15" x14ac:dyDescent="0.25">
      <c r="A15" s="28"/>
      <c r="B15" s="244">
        <v>0</v>
      </c>
      <c r="C15" s="87" t="s">
        <v>698</v>
      </c>
      <c r="D15" s="251"/>
      <c r="E15" s="251"/>
      <c r="F15" s="251"/>
      <c r="G15" s="176"/>
      <c r="H15" s="251"/>
      <c r="I15" s="251"/>
      <c r="J15" s="251"/>
      <c r="K15" s="251"/>
      <c r="L15" s="251"/>
      <c r="M15" s="176"/>
      <c r="N15" s="251"/>
    </row>
    <row r="16" spans="1:15" x14ac:dyDescent="0.25">
      <c r="A16" s="28"/>
      <c r="B16" s="245">
        <f>(B12*B13/100*1000)/(B10+B12-B14+B15)*1000</f>
        <v>2971.4857428714358</v>
      </c>
      <c r="C16" s="28" t="s">
        <v>700</v>
      </c>
      <c r="D16" s="251"/>
      <c r="E16" s="251"/>
      <c r="F16" s="251"/>
      <c r="G16" s="176"/>
      <c r="H16" s="251"/>
      <c r="I16" s="251"/>
      <c r="J16" s="251"/>
      <c r="K16" s="251"/>
      <c r="L16" s="251"/>
      <c r="M16" s="176"/>
      <c r="N16" s="251"/>
    </row>
    <row r="17" spans="1:19" ht="15.75" thickBot="1" x14ac:dyDescent="0.3">
      <c r="A17" s="28"/>
      <c r="B17" s="28" t="s">
        <v>647</v>
      </c>
      <c r="C17" s="28"/>
      <c r="D17" s="208"/>
      <c r="E17" s="208"/>
      <c r="F17" s="208"/>
      <c r="G17" s="176"/>
      <c r="H17" s="208"/>
      <c r="I17" s="208"/>
      <c r="J17" s="208"/>
      <c r="K17" s="208"/>
      <c r="L17" s="208"/>
      <c r="M17" s="176"/>
      <c r="N17" s="208"/>
    </row>
    <row r="18" spans="1:19" ht="90" thickBot="1" x14ac:dyDescent="0.3">
      <c r="A18" s="10" t="s">
        <v>29</v>
      </c>
      <c r="B18" s="11" t="s">
        <v>17</v>
      </c>
      <c r="C18" s="11" t="s">
        <v>30</v>
      </c>
      <c r="D18" s="11" t="s">
        <v>31</v>
      </c>
      <c r="E18" s="11" t="s">
        <v>32</v>
      </c>
      <c r="F18" s="11" t="s">
        <v>33</v>
      </c>
      <c r="G18" s="161" t="s">
        <v>202</v>
      </c>
      <c r="H18" s="11" t="s">
        <v>19</v>
      </c>
      <c r="I18" s="12" t="s">
        <v>20</v>
      </c>
      <c r="J18" s="11" t="s">
        <v>21</v>
      </c>
      <c r="K18" s="13" t="s">
        <v>22</v>
      </c>
      <c r="L18" s="11" t="s">
        <v>21</v>
      </c>
      <c r="M18" s="156" t="s">
        <v>23</v>
      </c>
      <c r="N18" s="14" t="s">
        <v>24</v>
      </c>
      <c r="O18" s="14" t="s">
        <v>25</v>
      </c>
      <c r="P18" s="14" t="s">
        <v>678</v>
      </c>
      <c r="Q18" s="14" t="s">
        <v>681</v>
      </c>
      <c r="R18" s="14" t="s">
        <v>897</v>
      </c>
      <c r="S18" s="14" t="s">
        <v>729</v>
      </c>
    </row>
    <row r="19" spans="1:19" ht="15.75" thickBot="1" x14ac:dyDescent="0.3">
      <c r="A19" s="32">
        <v>0</v>
      </c>
      <c r="B19" s="91">
        <v>4</v>
      </c>
      <c r="C19" s="105">
        <v>9.1300000000000008</v>
      </c>
      <c r="D19" s="213">
        <v>9.2100000000000009</v>
      </c>
      <c r="E19" s="91">
        <v>0.92</v>
      </c>
      <c r="F19" s="91">
        <v>0.67</v>
      </c>
      <c r="G19" s="122">
        <v>337</v>
      </c>
      <c r="H19" s="122">
        <v>2900</v>
      </c>
      <c r="I19" s="124">
        <v>22300000</v>
      </c>
      <c r="J19" s="125">
        <f>LOG(I$19)-LOG(I19)</f>
        <v>0</v>
      </c>
      <c r="K19" s="124">
        <v>26000000</v>
      </c>
      <c r="L19" s="91" t="s">
        <v>26</v>
      </c>
      <c r="M19" s="119"/>
      <c r="N19" s="119"/>
      <c r="O19" s="60"/>
      <c r="P19" s="233">
        <f>B$16*A19</f>
        <v>0</v>
      </c>
      <c r="Q19" s="233">
        <f>6/LINEST($J19:$J22,$P19:$P22,FALSE)</f>
        <v>57500.792776324037</v>
      </c>
      <c r="R19" s="249">
        <f>Q19/3000</f>
        <v>19.166930925441346</v>
      </c>
      <c r="S19" s="249">
        <f>(J26/LINEST($J19:$J22,$P19:$P22,FALSE))/$B$16</f>
        <v>23.704798624721025</v>
      </c>
    </row>
    <row r="20" spans="1:19" ht="15.75" thickBot="1" x14ac:dyDescent="0.3">
      <c r="A20" s="32">
        <v>5</v>
      </c>
      <c r="B20" s="103">
        <v>4.2</v>
      </c>
      <c r="C20" s="100">
        <v>9.15</v>
      </c>
      <c r="D20" s="105">
        <v>9.9600000000000009</v>
      </c>
      <c r="E20" s="58">
        <v>2800</v>
      </c>
      <c r="F20" s="58">
        <v>1.24</v>
      </c>
      <c r="G20" s="113">
        <v>377</v>
      </c>
      <c r="H20" s="113">
        <v>3160</v>
      </c>
      <c r="I20" s="124">
        <v>11700000</v>
      </c>
      <c r="J20" s="125">
        <f>LOG(I$19)-LOG(I20)</f>
        <v>0.2801190013019994</v>
      </c>
      <c r="K20" s="124">
        <v>4200000</v>
      </c>
      <c r="L20" s="50">
        <f>LOG(K19)-LOG(K20)</f>
        <v>0.79172405757291742</v>
      </c>
      <c r="M20" s="121"/>
      <c r="N20" s="121"/>
      <c r="O20" s="60"/>
      <c r="P20" s="233">
        <f>B$16*A20</f>
        <v>14857.428714357178</v>
      </c>
      <c r="Q20" s="225"/>
    </row>
    <row r="21" spans="1:19" ht="15.75" thickBot="1" x14ac:dyDescent="0.3">
      <c r="A21" s="32">
        <v>10</v>
      </c>
      <c r="B21" s="192">
        <v>4.3</v>
      </c>
      <c r="C21" s="100">
        <v>9.17</v>
      </c>
      <c r="D21" s="105">
        <v>10</v>
      </c>
      <c r="E21" s="58">
        <v>2800</v>
      </c>
      <c r="F21" s="100">
        <v>0.42</v>
      </c>
      <c r="G21" s="113">
        <v>367</v>
      </c>
      <c r="H21" s="113"/>
      <c r="I21" s="124">
        <v>24800</v>
      </c>
      <c r="J21" s="125">
        <f>LOG(I$19)-LOG(I21)</f>
        <v>2.9538531822219447</v>
      </c>
      <c r="K21" s="124">
        <v>5000</v>
      </c>
      <c r="L21" s="50">
        <f>LOG(K19)-LOG(K21)</f>
        <v>3.7160033436347994</v>
      </c>
      <c r="M21" s="121"/>
      <c r="N21" s="121"/>
      <c r="O21" s="60"/>
      <c r="P21" s="233">
        <f>B$16*A21</f>
        <v>29714.857428714357</v>
      </c>
    </row>
    <row r="22" spans="1:19" ht="15.75" thickBot="1" x14ac:dyDescent="0.3">
      <c r="A22" s="32">
        <v>15</v>
      </c>
      <c r="B22" s="103">
        <v>4.5</v>
      </c>
      <c r="C22" s="100">
        <v>9.17</v>
      </c>
      <c r="D22" s="212">
        <v>10.08</v>
      </c>
      <c r="E22" s="58">
        <v>2800</v>
      </c>
      <c r="F22" s="100">
        <v>0.66</v>
      </c>
      <c r="G22" s="113">
        <v>369</v>
      </c>
      <c r="H22" s="113"/>
      <c r="I22" s="124">
        <v>150</v>
      </c>
      <c r="J22" s="125">
        <f>LOG(I$19)-LOG(I22)</f>
        <v>5.1722136039924793</v>
      </c>
      <c r="K22" s="124">
        <v>0</v>
      </c>
      <c r="L22" s="50" t="s">
        <v>588</v>
      </c>
      <c r="M22" s="121"/>
      <c r="N22" s="121"/>
      <c r="O22" s="60"/>
      <c r="P22" s="233">
        <f>B$16*A22</f>
        <v>44572.286143071535</v>
      </c>
    </row>
    <row r="23" spans="1:19" ht="15.75" thickBot="1" x14ac:dyDescent="0.3">
      <c r="A23" s="32">
        <v>30</v>
      </c>
      <c r="B23" s="103">
        <v>4.9000000000000004</v>
      </c>
      <c r="C23" s="100">
        <v>9.18</v>
      </c>
      <c r="D23" s="105">
        <v>10.11</v>
      </c>
      <c r="E23" s="58">
        <v>2800</v>
      </c>
      <c r="F23" s="58">
        <v>0.57999999999999996</v>
      </c>
      <c r="G23" s="113">
        <v>372</v>
      </c>
      <c r="H23" s="113"/>
      <c r="I23" s="124">
        <v>0</v>
      </c>
      <c r="J23" s="50" t="s">
        <v>590</v>
      </c>
      <c r="K23" s="124">
        <v>0</v>
      </c>
      <c r="L23" s="50" t="s">
        <v>588</v>
      </c>
      <c r="M23" s="121"/>
      <c r="N23" s="121"/>
      <c r="O23" s="60"/>
      <c r="P23" s="233"/>
    </row>
    <row r="24" spans="1:19" ht="15.75" thickBot="1" x14ac:dyDescent="0.3">
      <c r="A24" s="193">
        <v>60</v>
      </c>
      <c r="B24" s="103">
        <v>5.2</v>
      </c>
      <c r="C24" s="100">
        <v>9.16</v>
      </c>
      <c r="D24" s="105">
        <v>10.039999999999999</v>
      </c>
      <c r="E24" s="58">
        <v>2700</v>
      </c>
      <c r="F24" s="58">
        <v>0.38</v>
      </c>
      <c r="G24" s="113">
        <v>380</v>
      </c>
      <c r="H24" s="113">
        <v>3090</v>
      </c>
      <c r="I24" s="124">
        <v>0</v>
      </c>
      <c r="J24" s="50" t="s">
        <v>590</v>
      </c>
      <c r="K24" s="124">
        <v>0</v>
      </c>
      <c r="L24" s="50" t="s">
        <v>588</v>
      </c>
      <c r="M24" s="121">
        <v>193</v>
      </c>
      <c r="N24" s="121">
        <v>13790</v>
      </c>
      <c r="O24" s="89"/>
      <c r="P24" s="233"/>
    </row>
    <row r="25" spans="1:19" ht="15.75" thickBot="1" x14ac:dyDescent="0.3">
      <c r="A25" s="32" t="s">
        <v>497</v>
      </c>
      <c r="B25" s="103">
        <v>5.2</v>
      </c>
      <c r="C25" s="100">
        <v>9.16</v>
      </c>
      <c r="D25" s="105">
        <v>10.08</v>
      </c>
      <c r="E25" s="58">
        <v>2700</v>
      </c>
      <c r="F25" s="58">
        <v>0.56999999999999995</v>
      </c>
      <c r="G25" s="113">
        <v>385</v>
      </c>
      <c r="H25" s="113">
        <v>3110</v>
      </c>
      <c r="I25" s="124">
        <v>0</v>
      </c>
      <c r="J25" s="50" t="s">
        <v>590</v>
      </c>
      <c r="K25" s="124">
        <v>0</v>
      </c>
      <c r="L25" s="50" t="s">
        <v>588</v>
      </c>
      <c r="M25" s="121">
        <v>220</v>
      </c>
      <c r="N25" s="121">
        <v>13811</v>
      </c>
      <c r="O25" s="89">
        <v>5100</v>
      </c>
      <c r="P25" s="233"/>
    </row>
    <row r="26" spans="1:19" x14ac:dyDescent="0.25">
      <c r="A26" s="142"/>
      <c r="B26" s="144">
        <f>AVERAGE(B20:B22)</f>
        <v>4.333333333333333</v>
      </c>
      <c r="C26" s="144">
        <f>AVERAGE(C20:C22)</f>
        <v>9.163333333333334</v>
      </c>
      <c r="D26" s="144"/>
      <c r="E26" s="145"/>
      <c r="F26" s="145"/>
      <c r="G26" s="146"/>
      <c r="H26" s="146"/>
      <c r="I26" s="147"/>
      <c r="J26" s="148">
        <v>7.35</v>
      </c>
      <c r="K26" s="147"/>
      <c r="L26" s="149"/>
      <c r="M26" s="150"/>
      <c r="N26" s="150"/>
      <c r="O26" s="151"/>
    </row>
    <row r="27" spans="1:19" x14ac:dyDescent="0.25">
      <c r="A27" s="28" t="s">
        <v>140</v>
      </c>
      <c r="B27" s="28"/>
      <c r="C27" s="210"/>
      <c r="D27" s="210"/>
      <c r="E27" s="210"/>
      <c r="F27" s="210"/>
      <c r="G27" s="176"/>
      <c r="H27" s="210"/>
      <c r="I27" s="210"/>
      <c r="J27" s="115"/>
      <c r="K27" s="210"/>
      <c r="L27" s="213"/>
      <c r="M27" s="176"/>
      <c r="N27" s="210"/>
      <c r="O27" s="213"/>
    </row>
    <row r="28" spans="1:19" x14ac:dyDescent="0.25">
      <c r="A28" s="28"/>
      <c r="B28" s="28" t="s">
        <v>459</v>
      </c>
      <c r="C28" s="210"/>
      <c r="D28" s="210"/>
      <c r="E28" s="210"/>
      <c r="F28" s="210"/>
      <c r="G28" s="176"/>
      <c r="H28" s="210"/>
      <c r="I28" s="210"/>
      <c r="J28" s="210"/>
      <c r="K28" s="210" t="s">
        <v>34</v>
      </c>
      <c r="L28" s="210" t="s">
        <v>34</v>
      </c>
      <c r="M28" s="176" t="s">
        <v>34</v>
      </c>
      <c r="N28" s="210" t="s">
        <v>34</v>
      </c>
      <c r="O28" s="213"/>
    </row>
    <row r="29" spans="1:19" x14ac:dyDescent="0.25">
      <c r="A29" s="28" t="s">
        <v>272</v>
      </c>
      <c r="B29" s="28"/>
      <c r="C29" s="210"/>
      <c r="D29" s="210"/>
      <c r="E29" s="210"/>
      <c r="F29" s="210"/>
      <c r="G29" s="176"/>
      <c r="H29" s="210"/>
      <c r="I29" s="210"/>
      <c r="J29" s="210"/>
      <c r="K29" s="210" t="s">
        <v>34</v>
      </c>
      <c r="L29" s="210" t="s">
        <v>34</v>
      </c>
      <c r="M29" s="176"/>
      <c r="N29" s="210"/>
      <c r="O29" s="213"/>
    </row>
    <row r="30" spans="1:19" x14ac:dyDescent="0.25">
      <c r="A30" s="28"/>
      <c r="B30" s="189"/>
      <c r="C30" s="213"/>
      <c r="D30" s="213"/>
      <c r="E30" s="213"/>
      <c r="F30" s="210"/>
      <c r="G30" s="176"/>
      <c r="H30" s="210"/>
      <c r="I30" s="210"/>
      <c r="J30" s="210"/>
      <c r="K30" s="210" t="s">
        <v>34</v>
      </c>
      <c r="L30" s="210" t="s">
        <v>34</v>
      </c>
      <c r="M30" s="176" t="s">
        <v>34</v>
      </c>
      <c r="N30" s="210"/>
      <c r="O30" s="213"/>
    </row>
    <row r="31" spans="1:19" x14ac:dyDescent="0.25">
      <c r="A31" s="28"/>
      <c r="B31" s="189"/>
      <c r="C31" s="213"/>
      <c r="D31" s="213"/>
      <c r="E31" s="213"/>
      <c r="F31" s="210"/>
      <c r="G31" s="176"/>
      <c r="H31" s="210"/>
      <c r="I31" s="210"/>
      <c r="J31" s="210"/>
      <c r="K31" s="210"/>
      <c r="L31" s="210"/>
      <c r="M31" s="176"/>
      <c r="N31" s="210"/>
      <c r="O31" s="213"/>
    </row>
    <row r="32" spans="1:19" x14ac:dyDescent="0.25">
      <c r="A32" s="19" t="s">
        <v>28</v>
      </c>
      <c r="B32" s="28"/>
      <c r="C32" s="211" t="s">
        <v>581</v>
      </c>
      <c r="D32" s="210"/>
      <c r="E32" s="210"/>
      <c r="F32" s="210"/>
      <c r="G32" s="176"/>
      <c r="H32" s="210"/>
      <c r="I32" s="210"/>
      <c r="J32" s="210"/>
      <c r="K32" s="210"/>
      <c r="L32" s="210"/>
      <c r="M32" s="176"/>
      <c r="N32" s="210"/>
      <c r="O32" s="210"/>
      <c r="P32" s="75"/>
    </row>
    <row r="33" spans="1:15" x14ac:dyDescent="0.25">
      <c r="A33" s="28"/>
      <c r="B33" s="22"/>
      <c r="C33" s="211" t="s">
        <v>601</v>
      </c>
      <c r="D33" s="210"/>
      <c r="E33" s="210"/>
      <c r="F33" s="210"/>
      <c r="G33" s="176"/>
      <c r="H33" s="210"/>
      <c r="I33" s="210"/>
      <c r="J33" s="210"/>
      <c r="K33" s="210"/>
      <c r="L33" s="210"/>
      <c r="M33" s="176"/>
      <c r="N33" s="210"/>
      <c r="O33" s="213"/>
    </row>
    <row r="34" spans="1:15" x14ac:dyDescent="0.25">
      <c r="A34" s="28"/>
      <c r="B34" s="189"/>
      <c r="C34" s="197" t="s">
        <v>586</v>
      </c>
      <c r="D34" s="213"/>
      <c r="E34" s="213"/>
      <c r="F34" s="213"/>
      <c r="G34" s="214"/>
      <c r="H34" s="213"/>
      <c r="I34" s="213"/>
      <c r="J34" s="213"/>
      <c r="K34" s="213"/>
      <c r="L34" s="213"/>
      <c r="M34" s="176"/>
      <c r="N34" s="210"/>
      <c r="O34" s="213"/>
    </row>
    <row r="35" spans="1:15" x14ac:dyDescent="0.25">
      <c r="A35" s="28"/>
      <c r="B35" s="189"/>
      <c r="C35" s="213"/>
      <c r="D35" s="213"/>
      <c r="E35" s="213"/>
      <c r="F35" s="213"/>
      <c r="G35" s="214"/>
      <c r="H35" s="213"/>
      <c r="I35" s="213"/>
      <c r="J35" s="213"/>
      <c r="K35" s="213"/>
      <c r="L35" s="213"/>
      <c r="M35" s="176"/>
      <c r="N35" s="210"/>
      <c r="O35" s="213"/>
    </row>
    <row r="36" spans="1:15" x14ac:dyDescent="0.25">
      <c r="A36" s="189"/>
      <c r="B36" s="189"/>
      <c r="C36" s="197" t="s">
        <v>604</v>
      </c>
      <c r="D36" s="213"/>
      <c r="E36" s="213"/>
      <c r="F36" s="213"/>
      <c r="G36" s="214"/>
      <c r="H36" s="213"/>
      <c r="I36" s="213"/>
      <c r="J36" s="213"/>
      <c r="K36" s="213"/>
      <c r="L36" s="210"/>
      <c r="M36" s="214"/>
      <c r="N36" s="213"/>
      <c r="O36" s="213"/>
    </row>
    <row r="37" spans="1:15" x14ac:dyDescent="0.25">
      <c r="B37" s="22"/>
      <c r="C37" s="197" t="s">
        <v>602</v>
      </c>
    </row>
    <row r="38" spans="1:15" x14ac:dyDescent="0.25">
      <c r="B38" s="22"/>
    </row>
    <row r="39" spans="1:15" x14ac:dyDescent="0.25">
      <c r="B39" s="22"/>
      <c r="C39" s="208"/>
      <c r="D39" s="208"/>
      <c r="E39" s="208"/>
      <c r="F39" s="208"/>
      <c r="G39" s="176"/>
      <c r="H39" s="208"/>
      <c r="I39" s="208"/>
      <c r="J39" s="208"/>
    </row>
    <row r="40" spans="1:15" x14ac:dyDescent="0.25">
      <c r="B40" s="22"/>
    </row>
    <row r="42" spans="1:15" x14ac:dyDescent="0.25">
      <c r="B42" s="41"/>
      <c r="C42" s="196"/>
      <c r="D42" s="196"/>
      <c r="E42" s="196"/>
      <c r="F42" s="196"/>
      <c r="G42" s="203"/>
      <c r="H42" s="196"/>
      <c r="I42" s="196"/>
      <c r="J42" s="196"/>
      <c r="K42" s="196"/>
    </row>
    <row r="43" spans="1:15" x14ac:dyDescent="0.25">
      <c r="B43" s="41"/>
      <c r="C43" s="196"/>
      <c r="D43" s="196"/>
      <c r="E43" s="196"/>
      <c r="F43" s="196"/>
      <c r="G43" s="203"/>
      <c r="H43" s="196"/>
      <c r="I43" s="196"/>
      <c r="J43" s="196"/>
      <c r="K43" s="196"/>
    </row>
    <row r="44" spans="1:15" x14ac:dyDescent="0.25">
      <c r="B44" s="22"/>
      <c r="C44" s="208"/>
      <c r="D44" s="208"/>
      <c r="E44" s="208"/>
      <c r="F44" s="208"/>
      <c r="G44" s="176"/>
      <c r="H44" s="208"/>
      <c r="I44" s="208"/>
      <c r="J44" s="196"/>
      <c r="K44" s="208"/>
    </row>
  </sheetData>
  <pageMargins left="0.7" right="0.7" top="0.75" bottom="0.75" header="0.3" footer="0.3"/>
  <pageSetup scale="72" orientation="landscape" verticalDpi="597" r:id="rId1"/>
  <drawing r:id="rId2"/>
  <legacyDrawing r:id="rId3"/>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rgb="FF7030A0"/>
    <pageSetUpPr fitToPage="1"/>
  </sheetPr>
  <dimension ref="A6:S44"/>
  <sheetViews>
    <sheetView zoomScale="90" zoomScaleNormal="90" workbookViewId="0"/>
  </sheetViews>
  <sheetFormatPr defaultRowHeight="15" x14ac:dyDescent="0.25"/>
  <cols>
    <col min="1" max="1" width="7.140625" customWidth="1"/>
    <col min="2" max="2" width="11.140625" customWidth="1"/>
    <col min="3" max="3" width="6.42578125" style="178" customWidth="1"/>
    <col min="4" max="4" width="8.85546875" style="178" customWidth="1"/>
    <col min="5" max="5" width="8.140625" style="178" customWidth="1"/>
    <col min="6" max="6" width="8.85546875" style="178" customWidth="1"/>
    <col min="7" max="7" width="9.140625" style="177" customWidth="1"/>
    <col min="8" max="8" width="9.42578125" style="178" customWidth="1"/>
    <col min="9" max="9" width="9.140625" style="178"/>
    <col min="10" max="10" width="7.7109375" style="178" customWidth="1"/>
    <col min="11" max="11" width="9.140625" style="178"/>
    <col min="12" max="12" width="11" style="178" customWidth="1"/>
    <col min="13" max="13" width="6.7109375" style="177" customWidth="1"/>
    <col min="14" max="14" width="10.28515625" style="178" customWidth="1"/>
    <col min="15" max="15" width="9.140625" style="178"/>
  </cols>
  <sheetData>
    <row r="6" spans="1:15" x14ac:dyDescent="0.25">
      <c r="A6" s="7" t="s">
        <v>12</v>
      </c>
      <c r="B6" s="28"/>
      <c r="C6" s="208"/>
      <c r="D6" s="208"/>
      <c r="E6" s="208"/>
      <c r="F6" s="208"/>
      <c r="G6" s="176"/>
      <c r="H6" s="208"/>
      <c r="I6" s="208"/>
      <c r="J6" s="208"/>
      <c r="K6" s="208"/>
      <c r="L6" s="208"/>
      <c r="M6" s="176"/>
      <c r="N6" s="208"/>
      <c r="O6" s="208"/>
    </row>
    <row r="7" spans="1:15" x14ac:dyDescent="0.25">
      <c r="A7" s="30" t="s">
        <v>13</v>
      </c>
      <c r="B7" s="128">
        <v>41521</v>
      </c>
    </row>
    <row r="8" spans="1:15" x14ac:dyDescent="0.25">
      <c r="A8" s="28" t="s">
        <v>14</v>
      </c>
      <c r="B8" s="208" t="s">
        <v>592</v>
      </c>
      <c r="C8" s="208"/>
      <c r="D8" s="208"/>
      <c r="E8" s="208"/>
      <c r="F8" s="208"/>
      <c r="G8" s="176"/>
      <c r="H8" s="208"/>
      <c r="I8" s="208"/>
      <c r="J8" s="208"/>
      <c r="K8" s="208" t="s">
        <v>34</v>
      </c>
      <c r="L8" s="208" t="s">
        <v>34</v>
      </c>
      <c r="M8" s="176"/>
      <c r="N8" s="208"/>
    </row>
    <row r="9" spans="1:15" x14ac:dyDescent="0.25">
      <c r="A9" s="28" t="s">
        <v>15</v>
      </c>
      <c r="B9" s="208">
        <v>13</v>
      </c>
      <c r="C9" s="211" t="s">
        <v>577</v>
      </c>
      <c r="D9" s="208"/>
      <c r="E9" s="208"/>
      <c r="F9" s="208"/>
      <c r="G9" s="176"/>
      <c r="H9" s="208"/>
      <c r="I9" s="208"/>
      <c r="J9" s="208"/>
      <c r="K9" s="208"/>
      <c r="L9" s="208"/>
      <c r="M9" s="176"/>
      <c r="N9" s="208"/>
    </row>
    <row r="10" spans="1:15" x14ac:dyDescent="0.25">
      <c r="A10" s="28" t="s">
        <v>16</v>
      </c>
      <c r="B10" s="31">
        <v>2000</v>
      </c>
      <c r="C10" s="31" t="s">
        <v>578</v>
      </c>
      <c r="D10" s="208"/>
      <c r="E10" s="208"/>
      <c r="F10" s="208"/>
      <c r="G10" s="176"/>
      <c r="H10" s="208"/>
      <c r="I10" s="208"/>
      <c r="J10" s="208" t="s">
        <v>34</v>
      </c>
      <c r="K10" s="208" t="s">
        <v>34</v>
      </c>
      <c r="L10" s="208" t="s">
        <v>34</v>
      </c>
      <c r="M10" s="176" t="s">
        <v>34</v>
      </c>
      <c r="N10" s="208" t="s">
        <v>34</v>
      </c>
    </row>
    <row r="11" spans="1:15" x14ac:dyDescent="0.25">
      <c r="A11" s="28"/>
      <c r="B11" s="238">
        <v>1300000000</v>
      </c>
      <c r="C11" s="31" t="s">
        <v>584</v>
      </c>
      <c r="D11" s="208"/>
      <c r="E11" s="208"/>
      <c r="F11" s="208"/>
      <c r="G11" s="176"/>
      <c r="H11" s="208"/>
      <c r="I11" s="208"/>
      <c r="J11" s="208"/>
      <c r="K11" s="208" t="s">
        <v>34</v>
      </c>
      <c r="L11" s="208"/>
      <c r="M11" s="176"/>
      <c r="N11" s="208"/>
    </row>
    <row r="12" spans="1:15" x14ac:dyDescent="0.25">
      <c r="A12" s="28"/>
      <c r="B12" s="31">
        <v>99</v>
      </c>
      <c r="C12" s="31" t="s">
        <v>579</v>
      </c>
      <c r="D12" s="208"/>
      <c r="E12" s="208"/>
      <c r="F12" s="208"/>
      <c r="G12" s="176"/>
      <c r="H12" s="208"/>
      <c r="I12" s="208"/>
      <c r="J12" s="208"/>
      <c r="K12" s="208"/>
      <c r="L12" s="208"/>
      <c r="M12" s="176"/>
      <c r="N12" s="208"/>
    </row>
    <row r="13" spans="1:15" x14ac:dyDescent="0.25">
      <c r="A13" s="28"/>
      <c r="B13" s="244">
        <v>6</v>
      </c>
      <c r="C13" s="28" t="s">
        <v>697</v>
      </c>
      <c r="D13" s="251"/>
      <c r="E13" s="251"/>
      <c r="F13" s="251"/>
      <c r="G13" s="176"/>
      <c r="H13" s="251"/>
      <c r="I13" s="251"/>
      <c r="J13" s="251"/>
      <c r="K13" s="251"/>
      <c r="L13" s="251"/>
      <c r="M13" s="176"/>
      <c r="N13" s="251"/>
    </row>
    <row r="14" spans="1:15" x14ac:dyDescent="0.25">
      <c r="A14" s="28"/>
      <c r="B14" s="244">
        <v>100</v>
      </c>
      <c r="C14" s="87" t="s">
        <v>696</v>
      </c>
      <c r="D14" s="251"/>
      <c r="E14" s="251"/>
      <c r="F14" s="251"/>
      <c r="G14" s="176"/>
      <c r="H14" s="251"/>
      <c r="I14" s="251"/>
      <c r="J14" s="251"/>
      <c r="K14" s="251"/>
      <c r="L14" s="251"/>
      <c r="M14" s="176"/>
      <c r="N14" s="251"/>
    </row>
    <row r="15" spans="1:15" x14ac:dyDescent="0.25">
      <c r="A15" s="28"/>
      <c r="B15" s="244">
        <v>0</v>
      </c>
      <c r="C15" s="87" t="s">
        <v>698</v>
      </c>
      <c r="D15" s="251"/>
      <c r="E15" s="251"/>
      <c r="F15" s="251"/>
      <c r="G15" s="176"/>
      <c r="H15" s="251"/>
      <c r="I15" s="251"/>
      <c r="J15" s="251"/>
      <c r="K15" s="251"/>
      <c r="L15" s="251"/>
      <c r="M15" s="176"/>
      <c r="N15" s="251"/>
    </row>
    <row r="16" spans="1:15" x14ac:dyDescent="0.25">
      <c r="A16" s="28"/>
      <c r="B16" s="245">
        <f>(B12*B13/100*1000)/(B10+B12-B14+B15)*1000</f>
        <v>2971.4857428714358</v>
      </c>
      <c r="C16" s="28" t="s">
        <v>700</v>
      </c>
      <c r="D16" s="251"/>
      <c r="E16" s="251"/>
      <c r="F16" s="251"/>
      <c r="G16" s="176"/>
      <c r="H16" s="251"/>
      <c r="I16" s="251"/>
      <c r="J16" s="251"/>
      <c r="K16" s="251"/>
      <c r="L16" s="251"/>
      <c r="M16" s="176"/>
      <c r="N16" s="251"/>
    </row>
    <row r="17" spans="1:19" ht="15.75" thickBot="1" x14ac:dyDescent="0.3">
      <c r="A17" s="28"/>
      <c r="B17" s="28" t="s">
        <v>647</v>
      </c>
      <c r="C17" s="28"/>
      <c r="D17" s="208"/>
      <c r="E17" s="208"/>
      <c r="F17" s="208"/>
      <c r="G17" s="176"/>
      <c r="H17" s="208"/>
      <c r="I17" s="208"/>
      <c r="J17" s="208"/>
      <c r="K17" s="208"/>
      <c r="L17" s="208"/>
      <c r="M17" s="176"/>
      <c r="N17" s="208"/>
    </row>
    <row r="18" spans="1:19" ht="90" thickBot="1" x14ac:dyDescent="0.3">
      <c r="A18" s="10" t="s">
        <v>29</v>
      </c>
      <c r="B18" s="11" t="s">
        <v>17</v>
      </c>
      <c r="C18" s="11" t="s">
        <v>30</v>
      </c>
      <c r="D18" s="11" t="s">
        <v>31</v>
      </c>
      <c r="E18" s="11" t="s">
        <v>32</v>
      </c>
      <c r="F18" s="11" t="s">
        <v>33</v>
      </c>
      <c r="G18" s="161" t="s">
        <v>202</v>
      </c>
      <c r="H18" s="11" t="s">
        <v>19</v>
      </c>
      <c r="I18" s="12" t="s">
        <v>20</v>
      </c>
      <c r="J18" s="11" t="s">
        <v>21</v>
      </c>
      <c r="K18" s="13" t="s">
        <v>22</v>
      </c>
      <c r="L18" s="11" t="s">
        <v>21</v>
      </c>
      <c r="M18" s="156" t="s">
        <v>23</v>
      </c>
      <c r="N18" s="14" t="s">
        <v>24</v>
      </c>
      <c r="O18" s="14" t="s">
        <v>25</v>
      </c>
      <c r="P18" s="14" t="s">
        <v>678</v>
      </c>
      <c r="Q18" s="14" t="s">
        <v>681</v>
      </c>
      <c r="R18" s="14" t="s">
        <v>897</v>
      </c>
      <c r="S18" s="14" t="s">
        <v>729</v>
      </c>
    </row>
    <row r="19" spans="1:19" ht="15.75" thickBot="1" x14ac:dyDescent="0.3">
      <c r="A19" s="32">
        <v>0</v>
      </c>
      <c r="B19" s="91">
        <v>4.5999999999999996</v>
      </c>
      <c r="C19" s="105">
        <v>9.1300000000000008</v>
      </c>
      <c r="D19" s="213">
        <v>9.24</v>
      </c>
      <c r="E19" s="91">
        <v>1.0900000000000001</v>
      </c>
      <c r="F19" s="91">
        <v>0.38</v>
      </c>
      <c r="G19" s="122">
        <v>363</v>
      </c>
      <c r="H19" s="122">
        <v>3280</v>
      </c>
      <c r="I19" s="124">
        <v>28700000</v>
      </c>
      <c r="J19" s="125">
        <f>LOG(I$19)-LOG(I19)</f>
        <v>0</v>
      </c>
      <c r="K19" s="124">
        <v>26000000</v>
      </c>
      <c r="L19" s="91" t="s">
        <v>26</v>
      </c>
      <c r="M19" s="119"/>
      <c r="N19" s="119"/>
      <c r="O19" s="60"/>
      <c r="P19" s="233">
        <f>B$16*A19</f>
        <v>0</v>
      </c>
      <c r="Q19" s="233">
        <f>6/LINEST($J19:$J22,$P19:$P22,FALSE)</f>
        <v>49813.169368376795</v>
      </c>
      <c r="R19" s="249">
        <f>Q19/3000</f>
        <v>16.604389789458931</v>
      </c>
      <c r="S19" s="249">
        <f>(J26/LINEST($J19:$J22,$P19:$P22,FALSE))/$B$16</f>
        <v>20.842897888122717</v>
      </c>
    </row>
    <row r="20" spans="1:19" ht="15.75" thickBot="1" x14ac:dyDescent="0.3">
      <c r="A20" s="32">
        <v>5</v>
      </c>
      <c r="B20" s="103">
        <v>4.7</v>
      </c>
      <c r="C20" s="100">
        <v>9.1199999999999992</v>
      </c>
      <c r="D20" s="105">
        <v>10.050000000000001</v>
      </c>
      <c r="E20" s="58">
        <v>2900</v>
      </c>
      <c r="F20" s="58">
        <v>0.59</v>
      </c>
      <c r="G20" s="113">
        <v>342</v>
      </c>
      <c r="H20" s="113">
        <v>3130</v>
      </c>
      <c r="I20" s="124">
        <v>7150000</v>
      </c>
      <c r="J20" s="125">
        <f>LOG(I$19)-LOG(I20)</f>
        <v>0.60357585493291133</v>
      </c>
      <c r="K20" s="124">
        <v>4150000</v>
      </c>
      <c r="L20" s="50">
        <f>LOG(K19)-LOG(K20)</f>
        <v>0.79692525125872571</v>
      </c>
      <c r="M20" s="121"/>
      <c r="N20" s="121"/>
      <c r="O20" s="60"/>
      <c r="P20" s="233">
        <f>B$16*A20</f>
        <v>14857.428714357178</v>
      </c>
      <c r="Q20" s="225"/>
    </row>
    <row r="21" spans="1:19" ht="15.75" thickBot="1" x14ac:dyDescent="0.3">
      <c r="A21" s="32">
        <v>10</v>
      </c>
      <c r="B21" s="192">
        <v>4.5999999999999996</v>
      </c>
      <c r="C21" s="100">
        <v>9.1300000000000008</v>
      </c>
      <c r="D21" s="105">
        <v>10.06</v>
      </c>
      <c r="E21" s="58">
        <v>2700</v>
      </c>
      <c r="F21" s="100">
        <v>0.68</v>
      </c>
      <c r="G21" s="113">
        <v>327</v>
      </c>
      <c r="H21" s="113"/>
      <c r="I21" s="124">
        <v>7430</v>
      </c>
      <c r="J21" s="125">
        <f>LOG(I$19)-LOG(I21)</f>
        <v>3.5868930829734169</v>
      </c>
      <c r="K21" s="124">
        <v>1</v>
      </c>
      <c r="L21" s="50" t="s">
        <v>588</v>
      </c>
      <c r="M21" s="121"/>
      <c r="N21" s="121"/>
      <c r="O21" s="60"/>
      <c r="P21" s="233">
        <f>B$16*A21</f>
        <v>29714.857428714357</v>
      </c>
    </row>
    <row r="22" spans="1:19" ht="15.75" thickBot="1" x14ac:dyDescent="0.3">
      <c r="A22" s="32">
        <v>15</v>
      </c>
      <c r="B22" s="103">
        <v>4.5</v>
      </c>
      <c r="C22" s="100">
        <v>9.1300000000000008</v>
      </c>
      <c r="D22" s="212">
        <v>10.14</v>
      </c>
      <c r="E22" s="58">
        <v>2900</v>
      </c>
      <c r="F22" s="100">
        <v>0.39</v>
      </c>
      <c r="G22" s="113">
        <v>312</v>
      </c>
      <c r="H22" s="113"/>
      <c r="I22" s="124">
        <v>50</v>
      </c>
      <c r="J22" s="125">
        <f>LOG(I$19)-LOG(I22)</f>
        <v>5.7589118923979736</v>
      </c>
      <c r="K22" s="124">
        <v>0</v>
      </c>
      <c r="L22" s="50" t="s">
        <v>588</v>
      </c>
      <c r="M22" s="121"/>
      <c r="N22" s="121"/>
      <c r="O22" s="60"/>
      <c r="P22" s="233">
        <f>B$16*A22</f>
        <v>44572.286143071535</v>
      </c>
    </row>
    <row r="23" spans="1:19" ht="15.75" thickBot="1" x14ac:dyDescent="0.3">
      <c r="A23" s="32">
        <v>30</v>
      </c>
      <c r="B23" s="103">
        <v>4.2</v>
      </c>
      <c r="C23" s="100">
        <v>9.1</v>
      </c>
      <c r="D23" s="105">
        <v>10.19</v>
      </c>
      <c r="E23" s="58">
        <v>2700</v>
      </c>
      <c r="F23" s="58">
        <v>0.53</v>
      </c>
      <c r="G23" s="113">
        <v>314</v>
      </c>
      <c r="H23" s="113"/>
      <c r="I23" s="124">
        <v>0</v>
      </c>
      <c r="J23" s="50" t="s">
        <v>528</v>
      </c>
      <c r="K23" s="124">
        <v>0</v>
      </c>
      <c r="L23" s="50" t="s">
        <v>588</v>
      </c>
      <c r="M23" s="121"/>
      <c r="N23" s="121"/>
      <c r="O23" s="60"/>
      <c r="P23" s="233"/>
    </row>
    <row r="24" spans="1:19" ht="15.75" thickBot="1" x14ac:dyDescent="0.3">
      <c r="A24" s="193">
        <v>60</v>
      </c>
      <c r="B24" s="103">
        <v>3.4</v>
      </c>
      <c r="C24" s="100">
        <v>9.0299999999999994</v>
      </c>
      <c r="D24" s="105">
        <v>10.23</v>
      </c>
      <c r="E24" s="58">
        <v>2800</v>
      </c>
      <c r="F24" s="58">
        <v>0.76</v>
      </c>
      <c r="G24" s="113">
        <v>304</v>
      </c>
      <c r="H24" s="113">
        <v>3050</v>
      </c>
      <c r="I24" s="124">
        <v>0</v>
      </c>
      <c r="J24" s="50" t="s">
        <v>528</v>
      </c>
      <c r="K24" s="124">
        <v>0</v>
      </c>
      <c r="L24" s="50" t="s">
        <v>588</v>
      </c>
      <c r="M24" s="121">
        <v>150</v>
      </c>
      <c r="N24" s="121">
        <v>13324</v>
      </c>
      <c r="O24" s="89"/>
      <c r="P24" s="233"/>
    </row>
    <row r="25" spans="1:19" ht="15.75" thickBot="1" x14ac:dyDescent="0.3">
      <c r="A25" s="32" t="s">
        <v>497</v>
      </c>
      <c r="B25" s="103">
        <v>3.4</v>
      </c>
      <c r="C25" s="100">
        <v>9.08</v>
      </c>
      <c r="D25" s="105">
        <v>10.14</v>
      </c>
      <c r="E25" s="58">
        <v>2800</v>
      </c>
      <c r="F25" s="58">
        <v>0.33</v>
      </c>
      <c r="G25" s="113">
        <v>315</v>
      </c>
      <c r="H25" s="113">
        <v>3310</v>
      </c>
      <c r="I25" s="124">
        <v>0</v>
      </c>
      <c r="J25" s="50" t="s">
        <v>528</v>
      </c>
      <c r="K25" s="124">
        <v>0</v>
      </c>
      <c r="L25" s="50" t="s">
        <v>588</v>
      </c>
      <c r="M25" s="121">
        <v>169</v>
      </c>
      <c r="N25" s="121">
        <v>13310</v>
      </c>
      <c r="O25" s="89">
        <v>5167</v>
      </c>
      <c r="P25" s="233"/>
    </row>
    <row r="26" spans="1:19" x14ac:dyDescent="0.25">
      <c r="A26" s="142"/>
      <c r="B26" s="144">
        <f>AVERAGE(B20:B22)</f>
        <v>4.6000000000000005</v>
      </c>
      <c r="C26" s="144">
        <f>AVERAGE(C20:C22)</f>
        <v>9.1266666666666669</v>
      </c>
      <c r="D26" s="144"/>
      <c r="E26" s="145"/>
      <c r="F26" s="145"/>
      <c r="G26" s="146"/>
      <c r="H26" s="146"/>
      <c r="I26" s="147"/>
      <c r="J26" s="148">
        <v>7.46</v>
      </c>
      <c r="K26" s="147"/>
      <c r="L26" s="149"/>
      <c r="M26" s="150"/>
      <c r="N26" s="150"/>
      <c r="O26" s="151"/>
    </row>
    <row r="27" spans="1:19" x14ac:dyDescent="0.25">
      <c r="A27" s="28" t="s">
        <v>140</v>
      </c>
      <c r="B27" s="28"/>
      <c r="C27" s="210"/>
      <c r="D27" s="210"/>
      <c r="E27" s="210"/>
      <c r="F27" s="210"/>
      <c r="G27" s="176"/>
      <c r="H27" s="210"/>
      <c r="I27" s="210"/>
      <c r="J27" s="115"/>
      <c r="K27" s="210"/>
      <c r="L27" s="213"/>
      <c r="M27" s="176"/>
      <c r="N27" s="210"/>
      <c r="O27" s="213"/>
    </row>
    <row r="28" spans="1:19" x14ac:dyDescent="0.25">
      <c r="A28" s="28"/>
      <c r="B28" s="28" t="s">
        <v>459</v>
      </c>
      <c r="C28" s="210"/>
      <c r="D28" s="210"/>
      <c r="E28" s="210"/>
      <c r="F28" s="210"/>
      <c r="G28" s="176"/>
      <c r="H28" s="210"/>
      <c r="I28" s="210"/>
      <c r="J28" s="210"/>
      <c r="K28" s="210" t="s">
        <v>34</v>
      </c>
      <c r="L28" s="210" t="s">
        <v>34</v>
      </c>
      <c r="M28" s="176" t="s">
        <v>34</v>
      </c>
      <c r="N28" s="210" t="s">
        <v>34</v>
      </c>
      <c r="O28" s="213"/>
    </row>
    <row r="29" spans="1:19" x14ac:dyDescent="0.25">
      <c r="A29" s="28" t="s">
        <v>272</v>
      </c>
      <c r="B29" s="28"/>
      <c r="C29" s="210"/>
      <c r="D29" s="210"/>
      <c r="E29" s="210"/>
      <c r="F29" s="210"/>
      <c r="G29" s="176"/>
      <c r="H29" s="210"/>
      <c r="I29" s="210"/>
      <c r="J29" s="210"/>
      <c r="K29" s="210" t="s">
        <v>34</v>
      </c>
      <c r="L29" s="210" t="s">
        <v>34</v>
      </c>
      <c r="M29" s="176"/>
      <c r="N29" s="210"/>
      <c r="O29" s="213"/>
    </row>
    <row r="30" spans="1:19" x14ac:dyDescent="0.25">
      <c r="A30" s="28"/>
      <c r="B30" s="189"/>
      <c r="C30" s="213"/>
      <c r="D30" s="213"/>
      <c r="E30" s="213"/>
      <c r="F30" s="210"/>
      <c r="G30" s="176"/>
      <c r="H30" s="210"/>
      <c r="I30" s="210"/>
      <c r="J30" s="210"/>
      <c r="K30" s="210" t="s">
        <v>34</v>
      </c>
      <c r="L30" s="210" t="s">
        <v>34</v>
      </c>
      <c r="M30" s="176" t="s">
        <v>34</v>
      </c>
      <c r="N30" s="210"/>
      <c r="O30" s="213"/>
    </row>
    <row r="31" spans="1:19" x14ac:dyDescent="0.25">
      <c r="A31" s="28"/>
      <c r="B31" s="189"/>
      <c r="C31" s="213"/>
      <c r="D31" s="213"/>
      <c r="E31" s="213"/>
      <c r="F31" s="210"/>
      <c r="G31" s="176"/>
      <c r="H31" s="210"/>
      <c r="I31" s="210"/>
      <c r="J31" s="210"/>
      <c r="K31" s="210"/>
      <c r="L31" s="210"/>
      <c r="M31" s="176"/>
      <c r="N31" s="210"/>
      <c r="O31" s="213"/>
    </row>
    <row r="32" spans="1:19" x14ac:dyDescent="0.25">
      <c r="A32" s="19" t="s">
        <v>28</v>
      </c>
      <c r="B32" s="28"/>
      <c r="C32" s="211" t="s">
        <v>581</v>
      </c>
      <c r="D32" s="210"/>
      <c r="E32" s="210"/>
      <c r="F32" s="210"/>
      <c r="G32" s="176"/>
      <c r="H32" s="210"/>
      <c r="I32" s="210"/>
      <c r="J32" s="210"/>
      <c r="K32" s="210"/>
      <c r="L32" s="210"/>
      <c r="M32" s="176"/>
      <c r="N32" s="210"/>
      <c r="O32" s="210"/>
      <c r="P32" s="75"/>
    </row>
    <row r="33" spans="1:15" x14ac:dyDescent="0.25">
      <c r="A33" s="28"/>
      <c r="B33" s="22"/>
      <c r="C33" s="211" t="s">
        <v>603</v>
      </c>
      <c r="D33" s="210"/>
      <c r="E33" s="210"/>
      <c r="F33" s="210"/>
      <c r="G33" s="176"/>
      <c r="H33" s="210"/>
      <c r="I33" s="210"/>
      <c r="J33" s="210"/>
      <c r="K33" s="210"/>
      <c r="L33" s="210"/>
      <c r="M33" s="176"/>
      <c r="N33" s="210"/>
      <c r="O33" s="213"/>
    </row>
    <row r="34" spans="1:15" x14ac:dyDescent="0.25">
      <c r="A34" s="28"/>
      <c r="B34" s="189"/>
      <c r="C34" s="197" t="s">
        <v>586</v>
      </c>
      <c r="D34" s="213"/>
      <c r="E34" s="213"/>
      <c r="F34" s="213"/>
      <c r="G34" s="214"/>
      <c r="H34" s="213"/>
      <c r="I34" s="213"/>
      <c r="J34" s="213"/>
      <c r="K34" s="213"/>
      <c r="L34" s="213"/>
      <c r="M34" s="176"/>
      <c r="N34" s="210"/>
      <c r="O34" s="213"/>
    </row>
    <row r="35" spans="1:15" x14ac:dyDescent="0.25">
      <c r="A35" s="28"/>
      <c r="B35" s="189"/>
      <c r="C35" s="213"/>
      <c r="D35" s="213"/>
      <c r="E35" s="213"/>
      <c r="F35" s="213"/>
      <c r="G35" s="214"/>
      <c r="H35" s="213"/>
      <c r="I35" s="213"/>
      <c r="J35" s="213"/>
      <c r="K35" s="213"/>
      <c r="L35" s="213"/>
      <c r="M35" s="176"/>
      <c r="N35" s="210"/>
      <c r="O35" s="213"/>
    </row>
    <row r="36" spans="1:15" x14ac:dyDescent="0.25">
      <c r="A36" s="189"/>
      <c r="B36" s="189"/>
      <c r="C36" s="197" t="s">
        <v>605</v>
      </c>
      <c r="D36" s="213"/>
      <c r="E36" s="213"/>
      <c r="F36" s="213"/>
      <c r="G36" s="214"/>
      <c r="H36" s="213"/>
      <c r="I36" s="213"/>
      <c r="J36" s="213"/>
      <c r="K36" s="213"/>
      <c r="L36" s="210"/>
      <c r="M36" s="214"/>
      <c r="N36" s="213"/>
      <c r="O36" s="213"/>
    </row>
    <row r="37" spans="1:15" x14ac:dyDescent="0.25">
      <c r="B37" s="22"/>
      <c r="C37" s="197" t="s">
        <v>602</v>
      </c>
    </row>
    <row r="38" spans="1:15" x14ac:dyDescent="0.25">
      <c r="B38" s="22"/>
    </row>
    <row r="39" spans="1:15" x14ac:dyDescent="0.25">
      <c r="B39" s="22"/>
      <c r="C39" s="208"/>
      <c r="D39" s="208"/>
      <c r="E39" s="208"/>
      <c r="F39" s="208"/>
      <c r="G39" s="176"/>
      <c r="H39" s="208"/>
      <c r="I39" s="208"/>
      <c r="J39" s="208"/>
    </row>
    <row r="40" spans="1:15" x14ac:dyDescent="0.25">
      <c r="B40" s="22"/>
    </row>
    <row r="42" spans="1:15" x14ac:dyDescent="0.25">
      <c r="B42" s="41"/>
      <c r="C42" s="196"/>
      <c r="D42" s="196"/>
      <c r="E42" s="196"/>
      <c r="F42" s="196"/>
      <c r="G42" s="203"/>
      <c r="H42" s="196"/>
      <c r="I42" s="196"/>
      <c r="J42" s="196"/>
      <c r="K42" s="196"/>
    </row>
    <row r="43" spans="1:15" x14ac:dyDescent="0.25">
      <c r="B43" s="41"/>
      <c r="C43" s="196"/>
      <c r="D43" s="196"/>
      <c r="E43" s="196"/>
      <c r="F43" s="196"/>
      <c r="G43" s="203"/>
      <c r="H43" s="196"/>
      <c r="I43" s="196"/>
      <c r="J43" s="196"/>
      <c r="K43" s="196"/>
    </row>
    <row r="44" spans="1:15" x14ac:dyDescent="0.25">
      <c r="B44" s="22"/>
      <c r="C44" s="208"/>
      <c r="D44" s="208"/>
      <c r="E44" s="208"/>
      <c r="F44" s="208"/>
      <c r="G44" s="176"/>
      <c r="H44" s="208"/>
      <c r="I44" s="208"/>
      <c r="J44" s="196"/>
      <c r="K44" s="208"/>
    </row>
  </sheetData>
  <pageMargins left="0.7" right="0.7" top="0.75" bottom="0.75" header="0.3" footer="0.3"/>
  <pageSetup scale="72" orientation="landscape" verticalDpi="597" r:id="rId1"/>
  <drawing r:id="rId2"/>
  <legacyDrawing r:id="rId3"/>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8">
    <tabColor rgb="FF7030A0"/>
    <pageSetUpPr fitToPage="1"/>
  </sheetPr>
  <dimension ref="A6:S45"/>
  <sheetViews>
    <sheetView zoomScale="90" zoomScaleNormal="90" workbookViewId="0"/>
  </sheetViews>
  <sheetFormatPr defaultRowHeight="15" x14ac:dyDescent="0.25"/>
  <cols>
    <col min="1" max="1" width="7.140625" customWidth="1"/>
    <col min="2" max="2" width="11.140625" customWidth="1"/>
    <col min="3" max="3" width="6.42578125" style="178" customWidth="1"/>
    <col min="4" max="4" width="8.85546875" style="178" customWidth="1"/>
    <col min="5" max="5" width="8.140625" style="178" customWidth="1"/>
    <col min="6" max="6" width="8.85546875" style="178" customWidth="1"/>
    <col min="7" max="7" width="9.140625" style="177" customWidth="1"/>
    <col min="8" max="8" width="9.42578125" style="178" customWidth="1"/>
    <col min="9" max="9" width="9.140625" style="178"/>
    <col min="10" max="10" width="7.7109375" style="178" customWidth="1"/>
    <col min="11" max="11" width="9.140625" style="178"/>
    <col min="12" max="12" width="11" style="178" customWidth="1"/>
    <col min="13" max="13" width="6.7109375" style="177" customWidth="1"/>
    <col min="14" max="14" width="10.28515625" style="178" customWidth="1"/>
    <col min="15" max="15" width="9.140625" style="178"/>
    <col min="18" max="18" width="9.5703125" customWidth="1"/>
  </cols>
  <sheetData>
    <row r="6" spans="1:15" x14ac:dyDescent="0.25">
      <c r="A6" s="7" t="s">
        <v>12</v>
      </c>
      <c r="B6" s="28"/>
      <c r="C6" s="208"/>
      <c r="D6" s="208"/>
      <c r="E6" s="208"/>
      <c r="F6" s="208"/>
      <c r="G6" s="176"/>
      <c r="H6" s="208"/>
      <c r="I6" s="208"/>
      <c r="J6" s="208"/>
      <c r="K6" s="208"/>
      <c r="L6" s="208"/>
      <c r="M6" s="176"/>
      <c r="N6" s="208"/>
      <c r="O6" s="208"/>
    </row>
    <row r="7" spans="1:15" x14ac:dyDescent="0.25">
      <c r="A7" s="30" t="s">
        <v>13</v>
      </c>
      <c r="B7" s="128">
        <v>41527</v>
      </c>
    </row>
    <row r="8" spans="1:15" x14ac:dyDescent="0.25">
      <c r="A8" s="28" t="s">
        <v>14</v>
      </c>
      <c r="B8" s="208" t="s">
        <v>591</v>
      </c>
      <c r="C8" s="208"/>
      <c r="D8" s="208"/>
      <c r="E8" s="208"/>
      <c r="F8" s="208"/>
      <c r="G8" s="176"/>
      <c r="H8" s="208"/>
      <c r="I8" s="208"/>
      <c r="J8" s="208"/>
      <c r="K8" s="208" t="s">
        <v>34</v>
      </c>
      <c r="L8" s="208" t="s">
        <v>34</v>
      </c>
      <c r="M8" s="176"/>
      <c r="N8" s="208"/>
    </row>
    <row r="9" spans="1:15" x14ac:dyDescent="0.25">
      <c r="A9" s="28" t="s">
        <v>15</v>
      </c>
      <c r="B9" s="208">
        <v>13</v>
      </c>
      <c r="C9" s="211" t="s">
        <v>577</v>
      </c>
      <c r="D9" s="208"/>
      <c r="E9" s="208"/>
      <c r="F9" s="208"/>
      <c r="G9" s="176"/>
      <c r="H9" s="208"/>
      <c r="I9" s="208"/>
      <c r="J9" s="208"/>
      <c r="K9" s="208"/>
      <c r="L9" s="208"/>
      <c r="M9" s="176"/>
      <c r="N9" s="208"/>
    </row>
    <row r="10" spans="1:15" x14ac:dyDescent="0.25">
      <c r="A10" s="28" t="s">
        <v>16</v>
      </c>
      <c r="B10">
        <v>2000</v>
      </c>
      <c r="C10" s="31" t="s">
        <v>732</v>
      </c>
      <c r="D10" s="208"/>
      <c r="E10" s="208"/>
      <c r="F10" s="208"/>
      <c r="G10" s="176"/>
      <c r="H10" s="208"/>
      <c r="I10" s="208"/>
      <c r="J10" s="208" t="s">
        <v>34</v>
      </c>
      <c r="K10" s="208" t="s">
        <v>34</v>
      </c>
      <c r="L10" s="208" t="s">
        <v>34</v>
      </c>
      <c r="M10" s="176" t="s">
        <v>34</v>
      </c>
      <c r="N10" s="208" t="s">
        <v>34</v>
      </c>
    </row>
    <row r="11" spans="1:15" x14ac:dyDescent="0.25">
      <c r="A11" s="28"/>
      <c r="B11" s="243">
        <v>1300000000</v>
      </c>
      <c r="C11" s="31" t="s">
        <v>717</v>
      </c>
      <c r="D11" s="208"/>
      <c r="E11" s="208"/>
      <c r="F11" s="208"/>
      <c r="G11" s="176"/>
      <c r="H11" s="208"/>
      <c r="I11" s="208"/>
      <c r="J11" s="208"/>
      <c r="K11" s="208" t="s">
        <v>34</v>
      </c>
      <c r="L11" s="208"/>
      <c r="M11" s="176"/>
      <c r="N11" s="208"/>
    </row>
    <row r="12" spans="1:15" x14ac:dyDescent="0.25">
      <c r="A12" s="28"/>
      <c r="B12">
        <v>99</v>
      </c>
      <c r="C12" s="31" t="s">
        <v>731</v>
      </c>
      <c r="D12" s="208"/>
      <c r="E12" s="208"/>
      <c r="F12" s="208"/>
      <c r="G12" s="176"/>
      <c r="H12" s="208"/>
      <c r="I12" s="208"/>
      <c r="J12" s="208"/>
      <c r="K12" s="208"/>
      <c r="L12" s="208"/>
      <c r="M12" s="176"/>
      <c r="N12" s="208"/>
    </row>
    <row r="13" spans="1:15" x14ac:dyDescent="0.25">
      <c r="A13" s="28"/>
      <c r="B13" s="244">
        <v>6</v>
      </c>
      <c r="C13" s="28" t="s">
        <v>697</v>
      </c>
      <c r="D13" s="251"/>
      <c r="E13" s="251"/>
      <c r="F13" s="251"/>
      <c r="G13" s="176"/>
      <c r="H13" s="251"/>
      <c r="I13" s="251"/>
      <c r="J13" s="251"/>
      <c r="K13" s="251"/>
      <c r="L13" s="251"/>
      <c r="M13" s="176"/>
      <c r="N13" s="251"/>
    </row>
    <row r="14" spans="1:15" x14ac:dyDescent="0.25">
      <c r="A14" s="28"/>
      <c r="B14" s="244">
        <v>100</v>
      </c>
      <c r="C14" s="87" t="s">
        <v>696</v>
      </c>
      <c r="D14" s="251"/>
      <c r="E14" s="251"/>
      <c r="F14" s="251"/>
      <c r="G14" s="176"/>
      <c r="H14" s="251"/>
      <c r="I14" s="251"/>
      <c r="J14" s="251"/>
      <c r="K14" s="251"/>
      <c r="L14" s="251"/>
      <c r="M14" s="176"/>
      <c r="N14" s="251"/>
    </row>
    <row r="15" spans="1:15" x14ac:dyDescent="0.25">
      <c r="A15" s="28"/>
      <c r="B15" s="244">
        <v>0</v>
      </c>
      <c r="C15" s="87" t="s">
        <v>698</v>
      </c>
      <c r="D15" s="251"/>
      <c r="E15" s="251"/>
      <c r="F15" s="251"/>
      <c r="G15" s="176"/>
      <c r="H15" s="251"/>
      <c r="I15" s="251"/>
      <c r="J15" s="251"/>
      <c r="K15" s="251"/>
      <c r="L15" s="251"/>
      <c r="M15" s="176"/>
      <c r="N15" s="251"/>
    </row>
    <row r="16" spans="1:15" x14ac:dyDescent="0.25">
      <c r="A16" s="28"/>
      <c r="B16" s="245">
        <f>(B12*B13/100*1000)/(B10+B12-B14+B15)*1000</f>
        <v>2971.4857428714358</v>
      </c>
      <c r="C16" s="28" t="s">
        <v>700</v>
      </c>
      <c r="D16" s="251"/>
      <c r="E16" s="251"/>
      <c r="F16" s="251"/>
      <c r="G16" s="176"/>
      <c r="H16" s="251"/>
      <c r="I16" s="251"/>
      <c r="J16" s="251"/>
      <c r="K16" s="251"/>
      <c r="L16" s="251"/>
      <c r="M16" s="176"/>
      <c r="N16" s="251"/>
    </row>
    <row r="17" spans="1:19" ht="15.75" thickBot="1" x14ac:dyDescent="0.3">
      <c r="A17" s="28"/>
      <c r="B17" s="28" t="s">
        <v>647</v>
      </c>
      <c r="C17" s="28"/>
      <c r="D17" s="208"/>
      <c r="E17" s="208"/>
      <c r="F17" s="208"/>
      <c r="G17" s="176"/>
      <c r="H17" s="208"/>
      <c r="I17" s="208"/>
      <c r="J17" s="208"/>
      <c r="K17" s="208"/>
      <c r="L17" s="208"/>
      <c r="M17" s="176"/>
      <c r="N17" s="208"/>
    </row>
    <row r="18" spans="1:19" ht="77.25" thickBot="1" x14ac:dyDescent="0.3">
      <c r="A18" s="10" t="s">
        <v>29</v>
      </c>
      <c r="B18" s="11" t="s">
        <v>17</v>
      </c>
      <c r="C18" s="11" t="s">
        <v>30</v>
      </c>
      <c r="D18" s="11" t="s">
        <v>31</v>
      </c>
      <c r="E18" s="11" t="s">
        <v>32</v>
      </c>
      <c r="F18" s="11" t="s">
        <v>33</v>
      </c>
      <c r="G18" s="161" t="s">
        <v>202</v>
      </c>
      <c r="H18" s="11" t="s">
        <v>19</v>
      </c>
      <c r="I18" s="12" t="s">
        <v>20</v>
      </c>
      <c r="J18" s="11" t="s">
        <v>21</v>
      </c>
      <c r="K18" s="13" t="s">
        <v>22</v>
      </c>
      <c r="L18" s="11" t="s">
        <v>21</v>
      </c>
      <c r="M18" s="156" t="s">
        <v>23</v>
      </c>
      <c r="N18" s="14" t="s">
        <v>24</v>
      </c>
      <c r="O18" s="14" t="s">
        <v>25</v>
      </c>
      <c r="P18" s="14" t="s">
        <v>678</v>
      </c>
      <c r="Q18" s="14" t="s">
        <v>681</v>
      </c>
      <c r="R18" s="14" t="s">
        <v>897</v>
      </c>
      <c r="S18" s="14" t="s">
        <v>729</v>
      </c>
    </row>
    <row r="19" spans="1:19" ht="15.75" thickBot="1" x14ac:dyDescent="0.3">
      <c r="A19" s="32">
        <v>0</v>
      </c>
      <c r="B19" s="91">
        <v>4.4000000000000004</v>
      </c>
      <c r="C19" s="105">
        <v>9.1999999999999993</v>
      </c>
      <c r="D19" s="213">
        <v>6.84</v>
      </c>
      <c r="E19" s="91">
        <v>1.1200000000000001</v>
      </c>
      <c r="F19" s="91">
        <v>0.72</v>
      </c>
      <c r="G19" s="122">
        <v>336</v>
      </c>
      <c r="H19" s="122">
        <v>3600</v>
      </c>
      <c r="I19" s="124">
        <v>25000000</v>
      </c>
      <c r="J19" s="125">
        <f>LOG(I$19)-LOG(I19)</f>
        <v>0</v>
      </c>
      <c r="K19" s="124">
        <v>36300000</v>
      </c>
      <c r="L19" s="91" t="s">
        <v>26</v>
      </c>
      <c r="M19" s="119"/>
      <c r="N19" s="119"/>
      <c r="O19" s="60"/>
      <c r="P19" s="233">
        <f>B$16*A19</f>
        <v>0</v>
      </c>
      <c r="Q19" s="233">
        <f>6/LINEST($J19:$J22,$P19:$P22,FALSE)</f>
        <v>51419.57842495454</v>
      </c>
      <c r="R19" s="249">
        <f>Q19/3000</f>
        <v>17.139859474984846</v>
      </c>
      <c r="S19" s="249">
        <f>(J26/LINEST($J19:$J22,$P19:$P22,FALSE))/$B$16</f>
        <v>21.342010544584245</v>
      </c>
    </row>
    <row r="20" spans="1:19" ht="15.75" thickBot="1" x14ac:dyDescent="0.3">
      <c r="A20" s="32">
        <v>5</v>
      </c>
      <c r="B20" s="103">
        <v>4.9000000000000004</v>
      </c>
      <c r="C20" s="100">
        <v>9.1</v>
      </c>
      <c r="D20" s="105">
        <v>6.83</v>
      </c>
      <c r="E20" s="58">
        <v>2700</v>
      </c>
      <c r="F20" s="58">
        <v>1.07</v>
      </c>
      <c r="G20" s="113">
        <v>319</v>
      </c>
      <c r="H20" s="113">
        <v>3440</v>
      </c>
      <c r="I20" s="124">
        <v>3400000</v>
      </c>
      <c r="J20" s="125">
        <f>LOG(I$19)-LOG(I20)</f>
        <v>0.86646109162978213</v>
      </c>
      <c r="K20" s="124">
        <v>4620000</v>
      </c>
      <c r="L20" s="50">
        <f>LOG(K19)-LOG(K20)</f>
        <v>0.89526464947998718</v>
      </c>
      <c r="M20" s="121"/>
      <c r="N20" s="121"/>
      <c r="O20" s="60"/>
      <c r="P20" s="233">
        <f>B$16*A20</f>
        <v>14857.428714357178</v>
      </c>
      <c r="Q20" s="225"/>
    </row>
    <row r="21" spans="1:19" ht="15.75" thickBot="1" x14ac:dyDescent="0.3">
      <c r="A21" s="32">
        <v>10</v>
      </c>
      <c r="B21" s="192">
        <v>4.9000000000000004</v>
      </c>
      <c r="C21" s="100">
        <v>9.08</v>
      </c>
      <c r="D21" s="105">
        <v>6.87</v>
      </c>
      <c r="E21" s="58">
        <v>2900</v>
      </c>
      <c r="F21" s="100">
        <v>1.49</v>
      </c>
      <c r="G21" s="113">
        <v>321</v>
      </c>
      <c r="H21" s="113"/>
      <c r="I21" s="124">
        <v>6200</v>
      </c>
      <c r="J21" s="125">
        <f>LOG(I$19)-LOG(I21)</f>
        <v>3.6055483191737836</v>
      </c>
      <c r="K21" s="124">
        <v>1000</v>
      </c>
      <c r="L21" s="50">
        <f>LOG(K19)-LOG(K21)</f>
        <v>4.5599066250361124</v>
      </c>
      <c r="M21" s="121"/>
      <c r="N21" s="121"/>
      <c r="O21" s="60"/>
      <c r="P21" s="233">
        <f>B$16*A21</f>
        <v>29714.857428714357</v>
      </c>
    </row>
    <row r="22" spans="1:19" ht="15.75" thickBot="1" x14ac:dyDescent="0.3">
      <c r="A22" s="32">
        <v>15</v>
      </c>
      <c r="B22" s="103">
        <v>4.9000000000000004</v>
      </c>
      <c r="C22" s="100">
        <v>9.0399999999999991</v>
      </c>
      <c r="D22" s="212">
        <v>6.92</v>
      </c>
      <c r="E22" s="58">
        <v>2800</v>
      </c>
      <c r="F22" s="100">
        <v>0.41</v>
      </c>
      <c r="G22" s="113">
        <v>325</v>
      </c>
      <c r="H22" s="113"/>
      <c r="I22" s="124">
        <v>100</v>
      </c>
      <c r="J22" s="125">
        <f>LOG(I$19)-LOG(I22)</f>
        <v>5.3979400086720375</v>
      </c>
      <c r="K22" s="124">
        <v>0</v>
      </c>
      <c r="L22" s="50" t="s">
        <v>593</v>
      </c>
      <c r="M22" s="121"/>
      <c r="N22" s="121"/>
      <c r="O22" s="60"/>
      <c r="P22" s="233">
        <f>B$16*A22</f>
        <v>44572.286143071535</v>
      </c>
    </row>
    <row r="23" spans="1:19" ht="15.75" thickBot="1" x14ac:dyDescent="0.3">
      <c r="A23" s="32">
        <v>30</v>
      </c>
      <c r="B23" s="103">
        <v>5</v>
      </c>
      <c r="C23" s="100">
        <v>9.0299999999999994</v>
      </c>
      <c r="D23" s="105">
        <v>6.89</v>
      </c>
      <c r="E23" s="58">
        <v>2700</v>
      </c>
      <c r="F23" s="58">
        <v>1.48</v>
      </c>
      <c r="G23" s="113">
        <v>327</v>
      </c>
      <c r="H23" s="113"/>
      <c r="I23" s="124">
        <v>0</v>
      </c>
      <c r="J23" s="50" t="s">
        <v>499</v>
      </c>
      <c r="K23" s="124">
        <v>0</v>
      </c>
      <c r="L23" s="50" t="s">
        <v>593</v>
      </c>
      <c r="M23" s="121"/>
      <c r="N23" s="121"/>
      <c r="O23" s="60"/>
      <c r="P23" s="233"/>
    </row>
    <row r="24" spans="1:19" ht="15.75" thickBot="1" x14ac:dyDescent="0.3">
      <c r="A24" s="193">
        <v>60</v>
      </c>
      <c r="B24" s="103">
        <v>3.9</v>
      </c>
      <c r="C24" s="100">
        <v>9</v>
      </c>
      <c r="D24" s="105">
        <v>6.91</v>
      </c>
      <c r="E24" s="58">
        <v>2700</v>
      </c>
      <c r="F24" s="58">
        <v>0.73</v>
      </c>
      <c r="G24" s="113">
        <v>331</v>
      </c>
      <c r="H24" s="113">
        <v>3240</v>
      </c>
      <c r="I24" s="124">
        <v>0</v>
      </c>
      <c r="J24" s="50" t="s">
        <v>461</v>
      </c>
      <c r="K24" s="124">
        <v>0</v>
      </c>
      <c r="L24" s="50" t="s">
        <v>593</v>
      </c>
      <c r="M24" s="121">
        <v>159</v>
      </c>
      <c r="N24" s="121">
        <v>13818</v>
      </c>
      <c r="O24" s="89"/>
      <c r="P24" s="233"/>
    </row>
    <row r="25" spans="1:19" ht="15.75" thickBot="1" x14ac:dyDescent="0.3">
      <c r="A25" s="32" t="s">
        <v>497</v>
      </c>
      <c r="B25" s="103">
        <v>3.9</v>
      </c>
      <c r="C25" s="100">
        <v>9.01</v>
      </c>
      <c r="D25" s="105">
        <v>6.89</v>
      </c>
      <c r="E25" s="58">
        <v>2700</v>
      </c>
      <c r="F25" s="58">
        <v>1.77</v>
      </c>
      <c r="G25" s="113">
        <v>321</v>
      </c>
      <c r="H25" s="113">
        <v>3240</v>
      </c>
      <c r="I25" s="124">
        <v>30</v>
      </c>
      <c r="J25" s="50">
        <f>LOG(I19)-LOG(I25)</f>
        <v>5.9208187539523749</v>
      </c>
      <c r="K25" s="124">
        <v>0</v>
      </c>
      <c r="L25" s="50" t="s">
        <v>593</v>
      </c>
      <c r="M25" s="121">
        <v>163</v>
      </c>
      <c r="N25" s="121">
        <v>13747</v>
      </c>
      <c r="O25" s="89">
        <v>5267</v>
      </c>
      <c r="P25" s="233"/>
    </row>
    <row r="26" spans="1:19" x14ac:dyDescent="0.25">
      <c r="A26" s="142"/>
      <c r="B26" s="144">
        <f>AVERAGE(B20:B22)</f>
        <v>4.9000000000000004</v>
      </c>
      <c r="C26" s="144">
        <f>AVERAGE(C20:C22)</f>
        <v>9.0733333333333324</v>
      </c>
      <c r="D26" s="144"/>
      <c r="E26" s="145"/>
      <c r="F26" s="145"/>
      <c r="G26" s="146"/>
      <c r="H26" s="146"/>
      <c r="I26" s="147"/>
      <c r="J26" s="148">
        <v>7.4</v>
      </c>
      <c r="K26" s="147"/>
      <c r="L26" s="149"/>
      <c r="M26" s="150"/>
      <c r="N26" s="150"/>
      <c r="O26" s="151"/>
    </row>
    <row r="27" spans="1:19" x14ac:dyDescent="0.25">
      <c r="A27" s="28" t="s">
        <v>140</v>
      </c>
      <c r="B27" s="28"/>
      <c r="C27" s="210"/>
      <c r="D27" s="210"/>
      <c r="E27" s="210"/>
      <c r="F27" s="210"/>
      <c r="G27" s="176"/>
      <c r="H27" s="210"/>
      <c r="I27" s="210"/>
      <c r="J27" s="115"/>
      <c r="K27" s="210"/>
      <c r="L27" s="213"/>
      <c r="M27" s="176"/>
      <c r="N27" s="210"/>
      <c r="O27" s="213"/>
    </row>
    <row r="28" spans="1:19" x14ac:dyDescent="0.25">
      <c r="A28" s="28"/>
      <c r="B28" s="28" t="s">
        <v>459</v>
      </c>
      <c r="C28" s="210"/>
      <c r="D28" s="210"/>
      <c r="E28" s="210"/>
      <c r="F28" s="210"/>
      <c r="G28" s="176"/>
      <c r="H28" s="210"/>
      <c r="I28" s="210"/>
      <c r="J28" s="210"/>
      <c r="K28" s="210" t="s">
        <v>34</v>
      </c>
      <c r="L28" s="210" t="s">
        <v>34</v>
      </c>
      <c r="M28" s="176" t="s">
        <v>34</v>
      </c>
      <c r="N28" s="210" t="s">
        <v>34</v>
      </c>
      <c r="O28" s="213"/>
    </row>
    <row r="29" spans="1:19" x14ac:dyDescent="0.25">
      <c r="A29" s="28" t="s">
        <v>272</v>
      </c>
      <c r="B29" s="28"/>
      <c r="C29" s="210"/>
      <c r="D29" s="210"/>
      <c r="E29" s="210"/>
      <c r="F29" s="210"/>
      <c r="G29" s="176"/>
      <c r="H29" s="210"/>
      <c r="I29" s="210"/>
      <c r="J29" s="210"/>
      <c r="K29" s="210" t="s">
        <v>34</v>
      </c>
      <c r="L29" s="210" t="s">
        <v>34</v>
      </c>
      <c r="M29" s="176"/>
      <c r="N29" s="210"/>
      <c r="O29" s="213"/>
    </row>
    <row r="30" spans="1:19" x14ac:dyDescent="0.25">
      <c r="A30" s="28"/>
      <c r="B30" s="189"/>
      <c r="C30" s="213"/>
      <c r="D30" s="213"/>
      <c r="E30" s="213"/>
      <c r="F30" s="210"/>
      <c r="G30" s="176"/>
      <c r="H30" s="210"/>
      <c r="I30" s="210"/>
      <c r="J30" s="210"/>
      <c r="K30" s="210" t="s">
        <v>34</v>
      </c>
      <c r="L30" s="210" t="s">
        <v>34</v>
      </c>
      <c r="M30" s="176" t="s">
        <v>34</v>
      </c>
      <c r="N30" s="210"/>
      <c r="O30" s="213"/>
    </row>
    <row r="31" spans="1:19" x14ac:dyDescent="0.25">
      <c r="A31" s="28"/>
      <c r="B31" s="189"/>
      <c r="C31" s="213"/>
      <c r="D31" s="213"/>
      <c r="E31" s="213"/>
      <c r="F31" s="210"/>
      <c r="G31" s="176"/>
      <c r="H31" s="210"/>
      <c r="I31" s="210"/>
      <c r="J31" s="210"/>
      <c r="K31" s="210"/>
      <c r="L31" s="210"/>
      <c r="M31" s="176"/>
      <c r="N31" s="210"/>
      <c r="O31" s="213"/>
    </row>
    <row r="32" spans="1:19" x14ac:dyDescent="0.25">
      <c r="A32" s="19" t="s">
        <v>28</v>
      </c>
      <c r="B32" s="28"/>
      <c r="C32" s="211" t="s">
        <v>581</v>
      </c>
      <c r="D32" s="210"/>
      <c r="E32" s="210"/>
      <c r="F32" s="210"/>
      <c r="G32" s="176"/>
      <c r="H32" s="210"/>
      <c r="I32" s="210"/>
      <c r="J32" s="210"/>
      <c r="K32" s="210"/>
      <c r="L32" s="210"/>
      <c r="M32" s="176"/>
      <c r="N32" s="210"/>
      <c r="O32" s="210"/>
      <c r="P32" s="75"/>
    </row>
    <row r="33" spans="1:15" x14ac:dyDescent="0.25">
      <c r="A33" s="28"/>
      <c r="B33" s="22"/>
      <c r="C33" s="211" t="s">
        <v>606</v>
      </c>
      <c r="D33" s="210"/>
      <c r="E33" s="210"/>
      <c r="F33" s="210"/>
      <c r="G33" s="176"/>
      <c r="H33" s="210"/>
      <c r="I33" s="210"/>
      <c r="J33" s="210"/>
      <c r="K33" s="210"/>
      <c r="L33" s="210"/>
      <c r="M33" s="176"/>
      <c r="N33" s="210"/>
      <c r="O33" s="213"/>
    </row>
    <row r="34" spans="1:15" x14ac:dyDescent="0.25">
      <c r="A34" s="28"/>
      <c r="B34" s="189"/>
      <c r="C34" s="197" t="s">
        <v>586</v>
      </c>
      <c r="D34" s="213"/>
      <c r="E34" s="213"/>
      <c r="F34" s="213"/>
      <c r="G34" s="214"/>
      <c r="H34" s="213"/>
      <c r="I34" s="213"/>
      <c r="J34" s="213"/>
      <c r="K34" s="213"/>
      <c r="L34" s="213"/>
      <c r="M34" s="176"/>
      <c r="N34" s="210"/>
      <c r="O34" s="213"/>
    </row>
    <row r="35" spans="1:15" x14ac:dyDescent="0.25">
      <c r="A35" s="28"/>
      <c r="B35" s="189"/>
      <c r="C35" s="213"/>
      <c r="D35" s="213"/>
      <c r="E35" s="213"/>
      <c r="F35" s="213"/>
      <c r="G35" s="214"/>
      <c r="H35" s="213"/>
      <c r="I35" s="213"/>
      <c r="J35" s="213"/>
      <c r="K35" s="213"/>
      <c r="L35" s="213"/>
      <c r="M35" s="176"/>
      <c r="N35" s="210"/>
      <c r="O35" s="213"/>
    </row>
    <row r="36" spans="1:15" x14ac:dyDescent="0.25">
      <c r="A36" s="189"/>
      <c r="B36" s="189"/>
      <c r="C36" s="197" t="s">
        <v>604</v>
      </c>
      <c r="D36" s="213"/>
      <c r="E36" s="213"/>
      <c r="F36" s="213"/>
      <c r="G36" s="214"/>
      <c r="H36" s="213"/>
      <c r="I36" s="213"/>
      <c r="J36" s="213"/>
      <c r="K36" s="213"/>
      <c r="L36" s="210"/>
      <c r="M36" s="214"/>
      <c r="N36" s="213"/>
      <c r="O36" s="213"/>
    </row>
    <row r="37" spans="1:15" x14ac:dyDescent="0.25">
      <c r="A37" s="189"/>
      <c r="B37" s="189"/>
      <c r="C37" s="197" t="s">
        <v>602</v>
      </c>
      <c r="D37" s="213"/>
      <c r="E37" s="213"/>
      <c r="F37" s="213"/>
      <c r="G37" s="214"/>
      <c r="H37" s="213"/>
      <c r="I37" s="213"/>
      <c r="J37" s="213"/>
      <c r="K37" s="213"/>
      <c r="L37" s="210"/>
      <c r="M37" s="214"/>
      <c r="N37" s="213"/>
      <c r="O37" s="213"/>
    </row>
    <row r="38" spans="1:15" x14ac:dyDescent="0.25">
      <c r="A38" s="189"/>
      <c r="B38" s="22"/>
      <c r="C38" s="197" t="s">
        <v>607</v>
      </c>
      <c r="D38" s="213"/>
      <c r="E38" s="213"/>
      <c r="F38" s="213"/>
      <c r="G38" s="214"/>
      <c r="H38" s="213"/>
      <c r="I38" s="213"/>
      <c r="J38" s="213"/>
      <c r="K38" s="213"/>
      <c r="L38" s="213"/>
      <c r="M38" s="214"/>
      <c r="N38" s="213"/>
      <c r="O38" s="213"/>
    </row>
    <row r="39" spans="1:15" x14ac:dyDescent="0.25">
      <c r="B39" s="22"/>
      <c r="C39" s="197" t="s">
        <v>594</v>
      </c>
    </row>
    <row r="40" spans="1:15" x14ac:dyDescent="0.25">
      <c r="B40" s="22"/>
      <c r="C40" s="209" t="s">
        <v>595</v>
      </c>
      <c r="D40" s="208"/>
      <c r="E40" s="208"/>
      <c r="F40" s="208"/>
      <c r="G40" s="176"/>
      <c r="H40" s="208"/>
      <c r="I40" s="208"/>
      <c r="J40" s="208"/>
    </row>
    <row r="41" spans="1:15" x14ac:dyDescent="0.25">
      <c r="B41" s="22"/>
    </row>
    <row r="43" spans="1:15" x14ac:dyDescent="0.25">
      <c r="B43" s="41"/>
      <c r="C43" s="196"/>
      <c r="D43" s="196"/>
      <c r="E43" s="196"/>
      <c r="F43" s="196"/>
      <c r="G43" s="203"/>
      <c r="H43" s="196"/>
      <c r="I43" s="196"/>
      <c r="J43" s="196"/>
      <c r="K43" s="196"/>
    </row>
    <row r="44" spans="1:15" x14ac:dyDescent="0.25">
      <c r="B44" s="41"/>
      <c r="C44" s="196"/>
      <c r="D44" s="196"/>
      <c r="E44" s="196"/>
      <c r="F44" s="196"/>
      <c r="G44" s="203"/>
      <c r="H44" s="196"/>
      <c r="I44" s="196"/>
      <c r="J44" s="196"/>
      <c r="K44" s="196"/>
    </row>
    <row r="45" spans="1:15" x14ac:dyDescent="0.25">
      <c r="B45" s="22"/>
      <c r="C45" s="208"/>
      <c r="D45" s="208"/>
      <c r="E45" s="208"/>
      <c r="F45" s="208"/>
      <c r="G45" s="176"/>
      <c r="H45" s="208"/>
      <c r="I45" s="208"/>
      <c r="J45" s="196"/>
      <c r="K45" s="208"/>
    </row>
  </sheetData>
  <pageMargins left="0.7" right="0.7" top="0.75" bottom="0.75" header="0.3" footer="0.3"/>
  <pageSetup scale="72" orientation="landscape" verticalDpi="597" r:id="rId1"/>
  <drawing r:id="rId2"/>
  <legacyDrawing r:id="rId3"/>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3">
    <pageSetUpPr fitToPage="1"/>
  </sheetPr>
  <dimension ref="A6:S58"/>
  <sheetViews>
    <sheetView zoomScale="90" zoomScaleNormal="90" workbookViewId="0"/>
  </sheetViews>
  <sheetFormatPr defaultRowHeight="15" x14ac:dyDescent="0.25"/>
  <cols>
    <col min="1" max="1" width="6.28515625" customWidth="1"/>
    <col min="2" max="2" width="9.85546875" customWidth="1"/>
    <col min="3" max="3" width="6.140625" customWidth="1"/>
    <col min="4" max="4" width="9.28515625" bestFit="1" customWidth="1"/>
    <col min="5" max="5" width="9.5703125" bestFit="1" customWidth="1"/>
    <col min="6" max="7" width="9.28515625" bestFit="1" customWidth="1"/>
    <col min="8" max="8" width="9.85546875" customWidth="1"/>
    <col min="9" max="9" width="10.5703125" bestFit="1" customWidth="1"/>
    <col min="10" max="10" width="7.140625" customWidth="1"/>
    <col min="11" max="11" width="12.28515625" customWidth="1"/>
    <col min="12" max="13" width="7.28515625" customWidth="1"/>
    <col min="14" max="14" width="10" customWidth="1"/>
    <col min="15" max="15" width="9.28515625" bestFit="1"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41088</v>
      </c>
    </row>
    <row r="8" spans="1:15" x14ac:dyDescent="0.25">
      <c r="A8" s="28" t="s">
        <v>14</v>
      </c>
      <c r="B8" s="28">
        <v>31</v>
      </c>
      <c r="C8" s="28" t="s">
        <v>404</v>
      </c>
      <c r="D8" s="28"/>
      <c r="E8" s="28"/>
      <c r="F8" s="28"/>
      <c r="G8" s="28"/>
      <c r="H8" s="28"/>
      <c r="I8" s="29"/>
      <c r="J8" s="28"/>
      <c r="K8" s="28" t="s">
        <v>34</v>
      </c>
      <c r="L8" s="28" t="s">
        <v>34</v>
      </c>
      <c r="M8" s="28"/>
      <c r="N8" s="28"/>
    </row>
    <row r="9" spans="1:15" x14ac:dyDescent="0.25">
      <c r="A9" s="28" t="s">
        <v>15</v>
      </c>
      <c r="B9" s="28" t="s">
        <v>395</v>
      </c>
      <c r="C9" s="28" t="s">
        <v>387</v>
      </c>
      <c r="D9" s="28"/>
      <c r="E9" s="28"/>
      <c r="F9" s="28"/>
      <c r="G9" s="28"/>
      <c r="H9" s="28"/>
      <c r="I9" s="29"/>
      <c r="J9" s="28"/>
      <c r="K9" s="28"/>
      <c r="L9" s="28"/>
      <c r="M9" s="28"/>
      <c r="N9" s="28"/>
    </row>
    <row r="10" spans="1:15" x14ac:dyDescent="0.25">
      <c r="A10" s="28" t="s">
        <v>16</v>
      </c>
      <c r="B10">
        <v>2000</v>
      </c>
      <c r="C10" s="31" t="s">
        <v>143</v>
      </c>
      <c r="D10" s="28"/>
      <c r="E10" s="28"/>
      <c r="F10" s="28"/>
      <c r="G10" s="28"/>
      <c r="H10" s="28"/>
      <c r="I10" s="29" t="s">
        <v>34</v>
      </c>
      <c r="J10" s="28" t="s">
        <v>34</v>
      </c>
      <c r="K10" s="28" t="s">
        <v>34</v>
      </c>
      <c r="L10" s="28" t="s">
        <v>34</v>
      </c>
      <c r="M10" s="28" t="s">
        <v>34</v>
      </c>
      <c r="N10" s="28" t="s">
        <v>34</v>
      </c>
    </row>
    <row r="11" spans="1:15" x14ac:dyDescent="0.25">
      <c r="A11" s="28"/>
      <c r="B11" s="243">
        <v>200000000</v>
      </c>
      <c r="C11" s="31" t="s">
        <v>58</v>
      </c>
      <c r="D11" s="28"/>
      <c r="E11" s="28"/>
      <c r="F11" s="28"/>
      <c r="G11" s="28"/>
      <c r="H11" s="28"/>
      <c r="I11" s="29"/>
      <c r="J11" s="28"/>
      <c r="K11" s="28" t="s">
        <v>34</v>
      </c>
      <c r="L11" s="28"/>
      <c r="M11" s="28"/>
      <c r="N11" s="28"/>
    </row>
    <row r="12" spans="1:15" x14ac:dyDescent="0.25">
      <c r="A12" s="28"/>
      <c r="B12">
        <v>95</v>
      </c>
      <c r="C12" s="31" t="s">
        <v>44</v>
      </c>
      <c r="D12" s="28"/>
      <c r="E12" s="28"/>
      <c r="F12" s="28"/>
      <c r="G12" s="28"/>
      <c r="H12" s="28"/>
      <c r="I12" s="29"/>
      <c r="J12" s="28"/>
      <c r="K12" s="28"/>
      <c r="L12" s="28"/>
      <c r="M12" s="28"/>
      <c r="N12" s="28"/>
    </row>
    <row r="13" spans="1:15" x14ac:dyDescent="0.25">
      <c r="A13" s="28"/>
      <c r="B13" s="244">
        <v>6</v>
      </c>
      <c r="C13" s="28" t="s">
        <v>697</v>
      </c>
      <c r="D13" s="28"/>
      <c r="E13" s="28"/>
      <c r="F13" s="28"/>
      <c r="G13" s="28"/>
      <c r="H13" s="28"/>
      <c r="I13" s="286"/>
      <c r="J13" s="28"/>
      <c r="K13" s="28"/>
      <c r="L13" s="28"/>
      <c r="M13" s="28"/>
      <c r="N13" s="28"/>
    </row>
    <row r="14" spans="1:15" x14ac:dyDescent="0.25">
      <c r="A14" s="28"/>
      <c r="B14" s="244">
        <v>100</v>
      </c>
      <c r="C14" s="87" t="s">
        <v>696</v>
      </c>
      <c r="D14" s="28"/>
      <c r="E14" s="28"/>
      <c r="F14" s="28"/>
      <c r="G14" s="28"/>
      <c r="H14" s="28"/>
      <c r="I14" s="286"/>
      <c r="J14" s="28"/>
      <c r="K14" s="28"/>
      <c r="L14" s="28"/>
      <c r="M14" s="28"/>
      <c r="N14" s="28"/>
    </row>
    <row r="15" spans="1:15" x14ac:dyDescent="0.25">
      <c r="A15" s="28"/>
      <c r="B15" s="244">
        <v>0</v>
      </c>
      <c r="C15" s="87" t="s">
        <v>698</v>
      </c>
      <c r="D15" s="28"/>
      <c r="E15" s="28"/>
      <c r="F15" s="28"/>
      <c r="G15" s="28"/>
      <c r="H15" s="28"/>
      <c r="I15" s="286"/>
      <c r="J15" s="28"/>
      <c r="K15" s="28"/>
      <c r="L15" s="28"/>
      <c r="M15" s="28"/>
      <c r="N15" s="28"/>
    </row>
    <row r="16" spans="1:15" x14ac:dyDescent="0.25">
      <c r="A16" s="28"/>
      <c r="B16" s="245">
        <f>(B12*B13/100*1000)/(B10+B12-B14+B15)*1000</f>
        <v>2857.1428571428573</v>
      </c>
      <c r="C16" s="28" t="s">
        <v>700</v>
      </c>
      <c r="D16" s="28"/>
      <c r="E16" s="28"/>
      <c r="F16" s="28"/>
      <c r="G16" s="28"/>
      <c r="H16" s="28"/>
      <c r="I16" s="286"/>
      <c r="J16" s="28"/>
      <c r="K16" s="28"/>
      <c r="L16" s="28"/>
      <c r="M16" s="28"/>
      <c r="N16" s="28"/>
    </row>
    <row r="17" spans="1:19" ht="15.75" thickBot="1" x14ac:dyDescent="0.3">
      <c r="A17" s="28"/>
      <c r="C17" s="87" t="s">
        <v>711</v>
      </c>
      <c r="D17" s="28"/>
      <c r="E17" s="28"/>
      <c r="F17" s="28"/>
      <c r="G17" s="28"/>
      <c r="H17" s="28"/>
      <c r="I17" s="29"/>
      <c r="J17" s="28"/>
      <c r="K17" s="28"/>
      <c r="L17" s="28"/>
      <c r="M17" s="28"/>
      <c r="N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91">
        <v>5.2</v>
      </c>
      <c r="C19" s="91">
        <v>9.16</v>
      </c>
      <c r="D19" s="91">
        <v>9.1999999999999993</v>
      </c>
      <c r="E19" s="91">
        <v>0.6</v>
      </c>
      <c r="F19" s="91">
        <v>0.53</v>
      </c>
      <c r="G19" s="91">
        <v>511</v>
      </c>
      <c r="H19" s="91">
        <v>2860</v>
      </c>
      <c r="I19" s="98">
        <v>20000000</v>
      </c>
      <c r="J19" s="125">
        <f>LOG(I$19)-LOG(I19)</f>
        <v>0</v>
      </c>
      <c r="K19" s="98">
        <v>9000000</v>
      </c>
      <c r="L19" s="91"/>
      <c r="M19" s="34"/>
      <c r="N19" s="34"/>
      <c r="O19" s="99"/>
      <c r="P19" s="233">
        <f>B$16*A19</f>
        <v>0</v>
      </c>
      <c r="Q19" s="233">
        <f>6/LINEST($J19:$J22,$P19:$P22,FALSE)</f>
        <v>39427.888937310279</v>
      </c>
      <c r="R19" s="249">
        <f>Q19/3000</f>
        <v>13.142629645770093</v>
      </c>
      <c r="S19" s="249">
        <f>(J27/LINEST($J19:$J22,$P19:$P22,FALSE))/$B$16</f>
        <v>16.789709372471293</v>
      </c>
    </row>
    <row r="20" spans="1:19" ht="15.75" thickBot="1" x14ac:dyDescent="0.3">
      <c r="A20" s="32">
        <v>3</v>
      </c>
      <c r="B20" s="58">
        <v>5.5</v>
      </c>
      <c r="C20" s="58">
        <v>9.16</v>
      </c>
      <c r="D20" s="58">
        <v>10.24</v>
      </c>
      <c r="E20" s="58">
        <v>2500</v>
      </c>
      <c r="F20" s="100">
        <v>0.4</v>
      </c>
      <c r="G20" s="58">
        <v>494</v>
      </c>
      <c r="H20" s="58">
        <v>3330</v>
      </c>
      <c r="I20" s="98">
        <v>3900000</v>
      </c>
      <c r="J20" s="125">
        <f>LOG(I$19)-LOG(I20)</f>
        <v>0.70996538863748171</v>
      </c>
      <c r="K20" s="98">
        <v>3500000</v>
      </c>
      <c r="L20" s="100">
        <v>0.41</v>
      </c>
      <c r="M20" s="99"/>
      <c r="N20" s="99"/>
      <c r="O20" s="99"/>
      <c r="P20" s="233">
        <f>B$16*A20</f>
        <v>8571.4285714285725</v>
      </c>
      <c r="Q20" s="225"/>
    </row>
    <row r="21" spans="1:19" ht="15.75" thickBot="1" x14ac:dyDescent="0.3">
      <c r="A21" s="32">
        <v>5</v>
      </c>
      <c r="B21" s="58">
        <v>5.5</v>
      </c>
      <c r="C21" s="58">
        <v>9.17</v>
      </c>
      <c r="D21" s="58">
        <v>10.24</v>
      </c>
      <c r="E21" s="58">
        <v>2500</v>
      </c>
      <c r="F21" s="58">
        <v>0.44</v>
      </c>
      <c r="G21" s="58">
        <v>472</v>
      </c>
      <c r="H21" s="58"/>
      <c r="I21" s="98">
        <v>190000</v>
      </c>
      <c r="J21" s="125">
        <f>LOG(I$19)-LOG(I21)</f>
        <v>2.0222763947111524</v>
      </c>
      <c r="K21" s="98">
        <v>260000</v>
      </c>
      <c r="L21" s="100">
        <v>1.54</v>
      </c>
      <c r="M21" s="99"/>
      <c r="N21" s="99"/>
      <c r="O21" s="99"/>
      <c r="P21" s="233">
        <f>B$16*A21</f>
        <v>14285.714285714286</v>
      </c>
    </row>
    <row r="22" spans="1:19" ht="15.75" thickBot="1" x14ac:dyDescent="0.3">
      <c r="A22" s="32">
        <v>10</v>
      </c>
      <c r="B22" s="58">
        <v>5.5</v>
      </c>
      <c r="C22" s="58">
        <v>9.1999999999999993</v>
      </c>
      <c r="D22" s="58">
        <v>10.25</v>
      </c>
      <c r="E22" s="58">
        <v>2500</v>
      </c>
      <c r="F22" s="58">
        <v>0.35</v>
      </c>
      <c r="G22" s="58">
        <v>463</v>
      </c>
      <c r="H22" s="58"/>
      <c r="I22" s="98">
        <v>500</v>
      </c>
      <c r="J22" s="125">
        <f>LOG(I$19)-LOG(I22)</f>
        <v>4.6020599913279625</v>
      </c>
      <c r="K22" s="98">
        <v>0</v>
      </c>
      <c r="L22" s="58" t="s">
        <v>388</v>
      </c>
      <c r="M22" s="99"/>
      <c r="N22" s="99"/>
      <c r="O22" s="99"/>
      <c r="P22" s="233">
        <f>B$16*A22</f>
        <v>28571.428571428572</v>
      </c>
    </row>
    <row r="23" spans="1:19" ht="15.75" thickBot="1" x14ac:dyDescent="0.3">
      <c r="A23" s="32">
        <v>15</v>
      </c>
      <c r="B23" s="58">
        <v>5.5</v>
      </c>
      <c r="C23" s="58">
        <v>9.2100000000000009</v>
      </c>
      <c r="D23" s="58">
        <v>10.25</v>
      </c>
      <c r="E23" s="58">
        <v>2200</v>
      </c>
      <c r="F23" s="58">
        <v>0.34</v>
      </c>
      <c r="G23" s="58">
        <v>461</v>
      </c>
      <c r="H23" s="58"/>
      <c r="I23" s="98">
        <v>0</v>
      </c>
      <c r="J23" s="100" t="s">
        <v>389</v>
      </c>
      <c r="K23" s="98">
        <v>0</v>
      </c>
      <c r="L23" s="58" t="s">
        <v>388</v>
      </c>
      <c r="M23" s="99"/>
      <c r="N23" s="99"/>
      <c r="O23" s="99"/>
      <c r="P23" s="233"/>
    </row>
    <row r="24" spans="1:19" ht="15.75" thickBot="1" x14ac:dyDescent="0.3">
      <c r="A24" s="32">
        <v>30</v>
      </c>
      <c r="B24" s="58">
        <v>5.5</v>
      </c>
      <c r="C24" s="58">
        <v>9.2100000000000009</v>
      </c>
      <c r="D24" s="58">
        <v>10.24</v>
      </c>
      <c r="E24" s="58">
        <v>2400</v>
      </c>
      <c r="F24" s="58">
        <v>0.37</v>
      </c>
      <c r="G24" s="58">
        <v>454</v>
      </c>
      <c r="H24" s="58"/>
      <c r="I24" s="98">
        <v>150</v>
      </c>
      <c r="J24" s="100">
        <v>5.12</v>
      </c>
      <c r="K24" s="98">
        <v>0</v>
      </c>
      <c r="L24" s="58" t="s">
        <v>388</v>
      </c>
      <c r="M24" s="60"/>
      <c r="N24" s="60"/>
      <c r="O24" s="99"/>
      <c r="P24" s="233"/>
    </row>
    <row r="25" spans="1:19" ht="15.75" thickBot="1" x14ac:dyDescent="0.3">
      <c r="A25" s="32">
        <v>60</v>
      </c>
      <c r="B25" s="58">
        <v>5.3</v>
      </c>
      <c r="C25" s="58">
        <v>9.2100000000000009</v>
      </c>
      <c r="D25" s="58">
        <v>10.24</v>
      </c>
      <c r="E25" s="58">
        <v>2500</v>
      </c>
      <c r="F25" s="58">
        <v>0.37</v>
      </c>
      <c r="G25" s="58">
        <v>456</v>
      </c>
      <c r="H25" s="58">
        <v>3230</v>
      </c>
      <c r="I25" s="98">
        <v>0</v>
      </c>
      <c r="J25" s="100" t="s">
        <v>389</v>
      </c>
      <c r="K25" s="98">
        <v>0</v>
      </c>
      <c r="L25" s="58" t="s">
        <v>388</v>
      </c>
      <c r="M25" s="60">
        <v>154</v>
      </c>
      <c r="N25" s="60">
        <v>14638</v>
      </c>
      <c r="O25" s="89">
        <v>5880</v>
      </c>
      <c r="P25" s="233"/>
    </row>
    <row r="26" spans="1:19" ht="15.75" thickBot="1" x14ac:dyDescent="0.3">
      <c r="A26" s="36" t="s">
        <v>242</v>
      </c>
      <c r="B26" s="60">
        <v>5.4</v>
      </c>
      <c r="C26" s="60">
        <v>9.2100000000000009</v>
      </c>
      <c r="D26" s="60">
        <v>10.28</v>
      </c>
      <c r="E26" s="60">
        <v>2700</v>
      </c>
      <c r="F26" s="60">
        <v>0.35</v>
      </c>
      <c r="G26" s="60">
        <v>471</v>
      </c>
      <c r="H26" s="60">
        <v>3160</v>
      </c>
      <c r="I26" s="98">
        <v>0</v>
      </c>
      <c r="J26" s="100" t="s">
        <v>389</v>
      </c>
      <c r="K26" s="98">
        <v>0</v>
      </c>
      <c r="L26" s="58" t="s">
        <v>388</v>
      </c>
      <c r="M26" s="60">
        <v>142</v>
      </c>
      <c r="N26" s="60">
        <v>14380</v>
      </c>
      <c r="O26" s="99"/>
    </row>
    <row r="27" spans="1:19" x14ac:dyDescent="0.25">
      <c r="B27" s="93">
        <f>AVERAGE(B20:B22)</f>
        <v>5.5</v>
      </c>
      <c r="C27" s="93">
        <f>AVERAGE(C20:C22)</f>
        <v>9.1766666666666659</v>
      </c>
      <c r="D27" s="93"/>
      <c r="E27" s="93"/>
      <c r="F27" s="93"/>
      <c r="G27" s="92"/>
      <c r="H27" s="92"/>
      <c r="I27" s="101"/>
      <c r="J27" s="93">
        <v>7.3</v>
      </c>
      <c r="K27" s="101"/>
      <c r="L27" s="93"/>
      <c r="M27" s="93"/>
      <c r="N27" s="93"/>
      <c r="O27" s="93"/>
    </row>
    <row r="28" spans="1:19" x14ac:dyDescent="0.25">
      <c r="A28" s="28" t="s">
        <v>140</v>
      </c>
      <c r="B28" s="28"/>
      <c r="C28" s="28"/>
      <c r="D28" s="28"/>
      <c r="E28" s="28"/>
      <c r="F28" s="28"/>
      <c r="G28" s="28"/>
      <c r="H28" s="28"/>
      <c r="I28" s="29"/>
      <c r="J28" s="28"/>
      <c r="K28" s="28"/>
      <c r="L28" s="28"/>
      <c r="M28" s="28"/>
      <c r="N28" s="28"/>
    </row>
    <row r="29" spans="1:19" x14ac:dyDescent="0.25">
      <c r="A29" s="28"/>
      <c r="B29" s="28" t="s">
        <v>141</v>
      </c>
      <c r="C29" s="28"/>
      <c r="D29" s="28"/>
      <c r="E29" s="28"/>
      <c r="F29" s="28"/>
      <c r="G29" s="28"/>
      <c r="H29" s="28"/>
      <c r="I29" s="29"/>
      <c r="J29" s="28"/>
      <c r="K29" s="28" t="s">
        <v>34</v>
      </c>
      <c r="L29" s="28" t="s">
        <v>34</v>
      </c>
      <c r="M29" s="28" t="s">
        <v>34</v>
      </c>
      <c r="N29" s="28" t="s">
        <v>34</v>
      </c>
    </row>
    <row r="30" spans="1:19" x14ac:dyDescent="0.25">
      <c r="A30" s="28" t="s">
        <v>272</v>
      </c>
      <c r="B30" s="28"/>
      <c r="C30" s="28"/>
      <c r="D30" s="28"/>
      <c r="E30" s="28"/>
      <c r="F30" s="28"/>
      <c r="G30" s="28"/>
      <c r="H30" s="28"/>
      <c r="I30" s="29"/>
      <c r="J30" s="28"/>
      <c r="K30" s="28" t="s">
        <v>34</v>
      </c>
      <c r="L30" s="28" t="s">
        <v>34</v>
      </c>
      <c r="M30" s="28"/>
      <c r="N30" s="28"/>
    </row>
    <row r="31" spans="1:19" x14ac:dyDescent="0.25">
      <c r="A31" s="59"/>
      <c r="F31" s="28"/>
      <c r="G31" s="28"/>
      <c r="H31" s="28"/>
      <c r="I31" s="29"/>
      <c r="J31" s="28"/>
      <c r="K31" s="28"/>
      <c r="L31" s="28"/>
      <c r="M31" s="28"/>
      <c r="N31" s="28"/>
    </row>
    <row r="32" spans="1:19" x14ac:dyDescent="0.25">
      <c r="A32" s="19" t="s">
        <v>28</v>
      </c>
      <c r="B32" s="28"/>
      <c r="C32" s="28"/>
      <c r="D32" s="28"/>
      <c r="E32" s="28"/>
      <c r="F32" s="28"/>
      <c r="G32" s="28"/>
      <c r="H32" s="28"/>
      <c r="I32" s="29"/>
      <c r="J32" s="28"/>
      <c r="K32" s="28" t="s">
        <v>34</v>
      </c>
      <c r="L32" s="28" t="s">
        <v>34</v>
      </c>
      <c r="M32" s="28" t="s">
        <v>34</v>
      </c>
      <c r="N32" s="28"/>
    </row>
    <row r="33" spans="1:14" x14ac:dyDescent="0.25">
      <c r="A33" s="28"/>
      <c r="B33" s="22"/>
      <c r="C33" s="28"/>
      <c r="D33" s="28"/>
      <c r="E33" s="28"/>
      <c r="F33" s="28"/>
      <c r="G33" s="28"/>
      <c r="H33" s="28"/>
      <c r="I33" s="29"/>
      <c r="J33" s="28"/>
      <c r="K33" s="28"/>
      <c r="L33" s="28" t="s">
        <v>34</v>
      </c>
      <c r="M33" s="28" t="s">
        <v>34</v>
      </c>
      <c r="N33" s="28"/>
    </row>
    <row r="34" spans="1:14" x14ac:dyDescent="0.25">
      <c r="A34" s="28"/>
      <c r="B34" s="41" t="s">
        <v>424</v>
      </c>
      <c r="C34" s="41"/>
      <c r="D34" s="41"/>
      <c r="E34" s="41"/>
      <c r="F34" s="41"/>
      <c r="G34" s="41"/>
      <c r="H34" s="41"/>
      <c r="I34" s="41"/>
      <c r="J34" s="41"/>
      <c r="K34" s="41"/>
      <c r="L34" s="41" t="s">
        <v>34</v>
      </c>
      <c r="M34" s="28"/>
      <c r="N34" s="28"/>
    </row>
    <row r="35" spans="1:14" x14ac:dyDescent="0.25">
      <c r="A35" s="28"/>
      <c r="B35" s="41"/>
      <c r="C35" s="41"/>
      <c r="D35" s="41"/>
      <c r="E35" s="41"/>
      <c r="F35" s="41"/>
      <c r="G35" s="41"/>
      <c r="H35" s="41"/>
      <c r="I35" s="41"/>
      <c r="J35" s="41"/>
      <c r="K35" s="41"/>
      <c r="L35" s="41"/>
      <c r="M35" s="28"/>
      <c r="N35" s="28"/>
    </row>
    <row r="36" spans="1:14" x14ac:dyDescent="0.25">
      <c r="A36" s="28"/>
      <c r="B36" s="22" t="s">
        <v>146</v>
      </c>
      <c r="C36" s="28"/>
      <c r="D36" s="28"/>
      <c r="E36" s="28"/>
      <c r="F36" s="28"/>
      <c r="G36" s="28"/>
      <c r="H36" s="28"/>
      <c r="I36" s="29"/>
      <c r="J36" s="28"/>
      <c r="K36" s="28"/>
      <c r="L36" s="28"/>
      <c r="M36" s="28" t="s">
        <v>34</v>
      </c>
      <c r="N36" s="28"/>
    </row>
    <row r="37" spans="1:14" x14ac:dyDescent="0.25">
      <c r="A37" s="28"/>
      <c r="B37" s="41" t="s">
        <v>418</v>
      </c>
      <c r="C37" s="41"/>
      <c r="D37" s="41"/>
      <c r="E37" s="41"/>
      <c r="F37" s="41"/>
      <c r="G37" s="41"/>
      <c r="H37" s="41"/>
      <c r="I37" s="41"/>
      <c r="J37" s="41"/>
      <c r="K37" s="41"/>
      <c r="L37" s="41"/>
      <c r="M37" s="28"/>
      <c r="N37" s="28"/>
    </row>
    <row r="38" spans="1:14" x14ac:dyDescent="0.25">
      <c r="A38" s="28"/>
      <c r="B38" s="41" t="s">
        <v>390</v>
      </c>
      <c r="C38" s="41"/>
      <c r="D38" s="41"/>
      <c r="E38" s="41"/>
      <c r="F38" s="41"/>
      <c r="G38" s="41"/>
      <c r="H38" s="41"/>
      <c r="I38" s="41"/>
      <c r="J38" s="41"/>
      <c r="K38" s="41"/>
      <c r="L38" s="41"/>
      <c r="M38" s="28"/>
      <c r="N38" s="28"/>
    </row>
    <row r="39" spans="1:14" x14ac:dyDescent="0.25">
      <c r="A39" s="28"/>
      <c r="B39" s="41"/>
      <c r="M39" s="28"/>
      <c r="N39" s="28"/>
    </row>
    <row r="40" spans="1:14" x14ac:dyDescent="0.25">
      <c r="A40" s="28"/>
      <c r="B40" s="69" t="s">
        <v>156</v>
      </c>
      <c r="C40" s="87"/>
      <c r="D40" s="87"/>
      <c r="E40" s="87"/>
      <c r="F40" s="87"/>
      <c r="G40" s="87"/>
      <c r="H40" s="87"/>
      <c r="I40" s="88"/>
      <c r="J40" s="87"/>
      <c r="K40" s="87"/>
      <c r="L40" s="28"/>
      <c r="N40" s="28"/>
    </row>
    <row r="41" spans="1:14" x14ac:dyDescent="0.25">
      <c r="A41" s="28"/>
      <c r="B41" s="41" t="s">
        <v>391</v>
      </c>
      <c r="C41" s="41"/>
      <c r="D41" s="41"/>
      <c r="E41" s="41"/>
      <c r="F41" s="41"/>
      <c r="G41" s="41"/>
      <c r="H41" s="41"/>
      <c r="I41" s="41"/>
      <c r="J41" s="41"/>
      <c r="K41" s="41"/>
      <c r="L41" s="41"/>
      <c r="N41" s="28"/>
    </row>
    <row r="42" spans="1:14" x14ac:dyDescent="0.25">
      <c r="A42" s="28"/>
      <c r="B42" s="41"/>
      <c r="C42" s="41"/>
      <c r="D42" s="41"/>
      <c r="E42" s="41"/>
      <c r="F42" s="41"/>
      <c r="G42" s="41"/>
      <c r="H42" s="41"/>
      <c r="I42" s="41"/>
      <c r="J42" s="41"/>
      <c r="K42" s="41"/>
      <c r="L42" s="41"/>
      <c r="N42" s="28"/>
    </row>
    <row r="43" spans="1:14" x14ac:dyDescent="0.25">
      <c r="A43" s="28"/>
      <c r="B43" s="75" t="s">
        <v>36</v>
      </c>
      <c r="C43" s="28"/>
      <c r="D43" s="28"/>
      <c r="E43" s="28"/>
      <c r="F43" s="28"/>
      <c r="G43" s="28"/>
      <c r="H43" s="28"/>
      <c r="I43" s="29"/>
      <c r="J43" s="28"/>
      <c r="K43" s="28"/>
      <c r="M43" s="28"/>
      <c r="N43" s="28"/>
    </row>
    <row r="44" spans="1:14" x14ac:dyDescent="0.25">
      <c r="A44" s="28"/>
      <c r="B44" s="22" t="s">
        <v>392</v>
      </c>
      <c r="M44" s="28"/>
      <c r="N44" s="28"/>
    </row>
    <row r="45" spans="1:14" x14ac:dyDescent="0.25">
      <c r="B45" s="41"/>
      <c r="N45" s="28"/>
    </row>
    <row r="46" spans="1:14" x14ac:dyDescent="0.25">
      <c r="B46" s="22" t="s">
        <v>420</v>
      </c>
    </row>
    <row r="47" spans="1:14" x14ac:dyDescent="0.25">
      <c r="B47" s="41" t="s">
        <v>393</v>
      </c>
      <c r="L47" s="28"/>
    </row>
    <row r="48" spans="1:14" x14ac:dyDescent="0.25">
      <c r="N48" t="s">
        <v>34</v>
      </c>
    </row>
    <row r="49" spans="2:16" x14ac:dyDescent="0.25">
      <c r="B49" s="41" t="s">
        <v>421</v>
      </c>
      <c r="C49" s="90"/>
      <c r="D49" s="90"/>
      <c r="E49" s="90"/>
      <c r="F49" s="90"/>
      <c r="G49" s="90"/>
      <c r="H49" s="90"/>
      <c r="I49" s="90"/>
      <c r="J49" s="90"/>
      <c r="K49" s="90"/>
      <c r="L49" s="65"/>
      <c r="M49" s="90"/>
    </row>
    <row r="50" spans="2:16" x14ac:dyDescent="0.25">
      <c r="B50" s="22" t="s">
        <v>450</v>
      </c>
      <c r="C50" s="41"/>
      <c r="D50" s="41"/>
      <c r="E50" s="41"/>
      <c r="F50" s="41"/>
      <c r="G50" s="41"/>
      <c r="H50" s="41"/>
      <c r="I50" s="41"/>
      <c r="J50" s="41"/>
      <c r="K50" s="41"/>
      <c r="L50" s="41"/>
      <c r="M50" s="41"/>
    </row>
    <row r="51" spans="2:16" x14ac:dyDescent="0.25">
      <c r="B51" s="429" t="s">
        <v>451</v>
      </c>
      <c r="C51" s="429"/>
      <c r="D51" s="429"/>
      <c r="E51" s="429"/>
      <c r="F51" s="429"/>
      <c r="G51" s="429"/>
      <c r="H51" s="429"/>
      <c r="I51" s="429"/>
      <c r="J51" s="429"/>
      <c r="K51" s="429"/>
      <c r="L51" s="429"/>
      <c r="M51" s="429"/>
      <c r="N51" s="429"/>
      <c r="O51" s="429"/>
      <c r="P51" s="429"/>
    </row>
    <row r="52" spans="2:16" x14ac:dyDescent="0.25">
      <c r="B52" s="112" t="s">
        <v>452</v>
      </c>
      <c r="C52" s="112"/>
      <c r="D52" s="112"/>
      <c r="E52" s="112"/>
      <c r="F52" s="112"/>
      <c r="G52" s="112"/>
      <c r="H52" s="112"/>
      <c r="I52" s="112"/>
      <c r="J52" s="112"/>
      <c r="K52" s="112"/>
      <c r="L52" s="112"/>
      <c r="M52" s="112"/>
      <c r="N52" s="112"/>
      <c r="O52" s="112"/>
      <c r="P52" s="112"/>
    </row>
    <row r="53" spans="2:16" x14ac:dyDescent="0.25">
      <c r="B53" s="22" t="s">
        <v>422</v>
      </c>
      <c r="C53" s="28"/>
      <c r="D53" s="28"/>
      <c r="E53" s="28"/>
      <c r="F53" s="28"/>
      <c r="G53" s="28"/>
      <c r="H53" s="28"/>
      <c r="I53" s="29"/>
      <c r="J53" s="28"/>
      <c r="K53" s="90"/>
      <c r="L53" s="90"/>
      <c r="M53" s="90"/>
    </row>
    <row r="54" spans="2:16" x14ac:dyDescent="0.25">
      <c r="B54" s="22" t="s">
        <v>394</v>
      </c>
      <c r="C54" s="90"/>
      <c r="D54" s="90"/>
      <c r="E54" s="90"/>
      <c r="F54" s="90"/>
      <c r="G54" s="90"/>
      <c r="H54" s="90"/>
      <c r="I54" s="90"/>
      <c r="J54" s="90"/>
      <c r="K54" s="90"/>
      <c r="L54" s="90"/>
      <c r="M54" s="90"/>
    </row>
    <row r="55" spans="2:16" x14ac:dyDescent="0.25">
      <c r="B55" s="90"/>
      <c r="C55" s="90"/>
      <c r="D55" s="90"/>
      <c r="E55" s="90"/>
      <c r="F55" s="90"/>
      <c r="G55" s="90"/>
      <c r="H55" s="90"/>
      <c r="I55" s="90"/>
      <c r="J55" s="90"/>
      <c r="K55" s="90"/>
      <c r="L55" s="90"/>
      <c r="M55" s="90"/>
    </row>
    <row r="56" spans="2:16" x14ac:dyDescent="0.25">
      <c r="B56" s="41" t="s">
        <v>154</v>
      </c>
      <c r="C56" s="41"/>
      <c r="D56" s="41"/>
      <c r="E56" s="41"/>
      <c r="F56" s="41"/>
      <c r="G56" s="41"/>
      <c r="H56" s="41"/>
      <c r="I56" s="41"/>
      <c r="J56" s="41"/>
      <c r="K56" s="41"/>
      <c r="L56" s="90"/>
      <c r="M56" s="90"/>
    </row>
    <row r="57" spans="2:16" x14ac:dyDescent="0.25">
      <c r="B57" s="41" t="s">
        <v>155</v>
      </c>
      <c r="C57" s="41"/>
      <c r="D57" s="41"/>
      <c r="E57" s="41"/>
      <c r="F57" s="41"/>
      <c r="G57" s="41"/>
      <c r="H57" s="41"/>
      <c r="I57" s="41"/>
      <c r="J57" s="41"/>
      <c r="K57" s="41"/>
      <c r="L57" s="90"/>
      <c r="M57" s="90"/>
    </row>
    <row r="58" spans="2:16" x14ac:dyDescent="0.25">
      <c r="B58" s="22" t="s">
        <v>157</v>
      </c>
      <c r="C58" s="28"/>
      <c r="D58" s="28"/>
      <c r="E58" s="28"/>
      <c r="F58" s="28"/>
      <c r="G58" s="28"/>
      <c r="H58" s="29"/>
      <c r="I58" s="28"/>
      <c r="J58" s="41"/>
      <c r="K58" s="28"/>
      <c r="L58" s="90"/>
      <c r="M58" s="90"/>
    </row>
  </sheetData>
  <mergeCells count="1">
    <mergeCell ref="B51:P51"/>
  </mergeCells>
  <pageMargins left="0.7" right="0.7" top="0.75" bottom="0.75" header="0.3" footer="0.3"/>
  <pageSetup scale="68" orientation="landscape" r:id="rId1"/>
  <drawing r:id="rId2"/>
  <legacyDrawing r:id="rId3"/>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5">
    <pageSetUpPr fitToPage="1"/>
  </sheetPr>
  <dimension ref="A6:S58"/>
  <sheetViews>
    <sheetView zoomScale="90" zoomScaleNormal="90" workbookViewId="0"/>
  </sheetViews>
  <sheetFormatPr defaultRowHeight="15" x14ac:dyDescent="0.25"/>
  <cols>
    <col min="1" max="1" width="6.28515625" customWidth="1"/>
    <col min="2" max="2" width="9.7109375" customWidth="1"/>
    <col min="3" max="3" width="6.140625" customWidth="1"/>
    <col min="8" max="8" width="8.7109375" customWidth="1"/>
    <col min="9" max="9" width="10.28515625" customWidth="1"/>
    <col min="10" max="10" width="9" customWidth="1"/>
    <col min="12" max="12" width="8.140625" customWidth="1"/>
    <col min="13" max="13" width="7.28515625" customWidth="1"/>
    <col min="14" max="14" width="8.28515625" customWidth="1"/>
  </cols>
  <sheetData>
    <row r="6" spans="1:15" x14ac:dyDescent="0.25">
      <c r="A6" s="7" t="s">
        <v>12</v>
      </c>
      <c r="B6" s="28"/>
      <c r="C6" s="28"/>
      <c r="D6" s="28"/>
      <c r="E6" s="28"/>
      <c r="F6" s="28"/>
      <c r="G6" s="28"/>
      <c r="H6" s="28"/>
      <c r="I6" s="107"/>
      <c r="J6" s="28"/>
      <c r="K6" s="28"/>
      <c r="L6" s="28"/>
      <c r="M6" s="28"/>
      <c r="N6" s="28"/>
      <c r="O6" s="28"/>
    </row>
    <row r="7" spans="1:15" x14ac:dyDescent="0.25">
      <c r="A7" s="30" t="s">
        <v>13</v>
      </c>
      <c r="B7" s="30">
        <v>41151</v>
      </c>
    </row>
    <row r="8" spans="1:15" x14ac:dyDescent="0.25">
      <c r="A8" s="28" t="s">
        <v>14</v>
      </c>
      <c r="B8" s="28"/>
      <c r="C8" s="28" t="s">
        <v>407</v>
      </c>
      <c r="D8" s="28"/>
      <c r="E8" s="28"/>
      <c r="F8" s="28"/>
      <c r="G8" s="28"/>
      <c r="H8" s="28"/>
      <c r="I8" s="107"/>
      <c r="J8" s="28"/>
      <c r="K8" s="28" t="s">
        <v>34</v>
      </c>
      <c r="L8" s="28" t="s">
        <v>34</v>
      </c>
      <c r="M8" s="28"/>
      <c r="N8" s="28"/>
    </row>
    <row r="9" spans="1:15" x14ac:dyDescent="0.25">
      <c r="A9" s="28" t="s">
        <v>15</v>
      </c>
      <c r="B9" s="28" t="s">
        <v>395</v>
      </c>
      <c r="C9" s="28" t="s">
        <v>387</v>
      </c>
      <c r="D9" s="28"/>
      <c r="E9" s="28"/>
      <c r="F9" s="28"/>
      <c r="G9" s="28"/>
      <c r="H9" s="28"/>
      <c r="I9" s="107"/>
      <c r="J9" s="28"/>
      <c r="K9" s="28"/>
      <c r="L9" s="28"/>
      <c r="M9" s="28"/>
      <c r="N9" s="28"/>
    </row>
    <row r="10" spans="1:15" x14ac:dyDescent="0.25">
      <c r="A10" s="28" t="s">
        <v>16</v>
      </c>
      <c r="B10">
        <v>2000</v>
      </c>
      <c r="C10" s="31" t="s">
        <v>143</v>
      </c>
      <c r="D10" s="28"/>
      <c r="E10" s="28"/>
      <c r="F10" s="28"/>
      <c r="G10" s="28"/>
      <c r="H10" s="28"/>
      <c r="I10" s="107" t="s">
        <v>34</v>
      </c>
      <c r="J10" s="28" t="s">
        <v>34</v>
      </c>
      <c r="K10" s="28" t="s">
        <v>34</v>
      </c>
      <c r="L10" s="28" t="s">
        <v>34</v>
      </c>
      <c r="M10" s="28" t="s">
        <v>34</v>
      </c>
      <c r="N10" s="28" t="s">
        <v>34</v>
      </c>
    </row>
    <row r="11" spans="1:15" x14ac:dyDescent="0.25">
      <c r="A11" s="28"/>
      <c r="B11" s="243">
        <v>200000000</v>
      </c>
      <c r="C11" s="31" t="s">
        <v>58</v>
      </c>
      <c r="D11" s="28"/>
      <c r="E11" s="28"/>
      <c r="F11" s="28"/>
      <c r="G11" s="28"/>
      <c r="H11" s="28"/>
      <c r="I11" s="107"/>
      <c r="J11" s="28"/>
      <c r="K11" s="28" t="s">
        <v>34</v>
      </c>
      <c r="L11" s="28"/>
      <c r="M11" s="28"/>
      <c r="N11" s="28"/>
    </row>
    <row r="12" spans="1:15" x14ac:dyDescent="0.25">
      <c r="A12" s="28"/>
      <c r="B12">
        <v>95</v>
      </c>
      <c r="C12" s="31" t="s">
        <v>44</v>
      </c>
      <c r="D12" s="28"/>
      <c r="E12" s="28"/>
      <c r="F12" s="28"/>
      <c r="G12" s="28"/>
      <c r="H12" s="28"/>
      <c r="I12" s="107"/>
      <c r="J12" s="28"/>
      <c r="K12" s="28"/>
      <c r="L12" s="28"/>
      <c r="M12" s="28"/>
      <c r="N12" s="28"/>
    </row>
    <row r="13" spans="1:15" x14ac:dyDescent="0.25">
      <c r="A13" s="28"/>
      <c r="B13" s="244">
        <v>6</v>
      </c>
      <c r="C13" s="28" t="s">
        <v>697</v>
      </c>
      <c r="D13" s="28"/>
      <c r="E13" s="28"/>
      <c r="F13" s="28"/>
      <c r="G13" s="28"/>
      <c r="H13" s="28"/>
      <c r="I13" s="286"/>
      <c r="J13" s="28"/>
      <c r="K13" s="28"/>
      <c r="L13" s="28"/>
      <c r="M13" s="28"/>
      <c r="N13" s="28"/>
    </row>
    <row r="14" spans="1:15" x14ac:dyDescent="0.25">
      <c r="A14" s="28"/>
      <c r="B14" s="244">
        <v>100</v>
      </c>
      <c r="C14" s="87" t="s">
        <v>696</v>
      </c>
      <c r="D14" s="28"/>
      <c r="E14" s="28"/>
      <c r="F14" s="28"/>
      <c r="G14" s="28"/>
      <c r="H14" s="28"/>
      <c r="I14" s="286"/>
      <c r="J14" s="28"/>
      <c r="K14" s="28"/>
      <c r="L14" s="28"/>
      <c r="M14" s="28"/>
      <c r="N14" s="28"/>
    </row>
    <row r="15" spans="1:15" x14ac:dyDescent="0.25">
      <c r="A15" s="28"/>
      <c r="B15" s="244">
        <v>0</v>
      </c>
      <c r="C15" s="87" t="s">
        <v>698</v>
      </c>
      <c r="D15" s="28"/>
      <c r="E15" s="28"/>
      <c r="F15" s="28"/>
      <c r="G15" s="28"/>
      <c r="H15" s="28"/>
      <c r="I15" s="286"/>
      <c r="J15" s="28"/>
      <c r="K15" s="28"/>
      <c r="L15" s="28"/>
      <c r="M15" s="28"/>
      <c r="N15" s="28"/>
    </row>
    <row r="16" spans="1:15" x14ac:dyDescent="0.25">
      <c r="A16" s="28"/>
      <c r="B16" s="245">
        <f>(B12*B13/100*1000)/(B10+B12-B14+B15)*1000</f>
        <v>2857.1428571428573</v>
      </c>
      <c r="C16" s="28" t="s">
        <v>700</v>
      </c>
      <c r="D16" s="28"/>
      <c r="E16" s="28"/>
      <c r="F16" s="28"/>
      <c r="G16" s="28"/>
      <c r="H16" s="28"/>
      <c r="I16" s="286"/>
      <c r="J16" s="28"/>
      <c r="K16" s="28"/>
      <c r="L16" s="28"/>
      <c r="M16" s="28"/>
      <c r="N16" s="28"/>
    </row>
    <row r="17" spans="1:19" ht="15.75" thickBot="1" x14ac:dyDescent="0.3">
      <c r="A17" s="28"/>
      <c r="C17" s="87" t="s">
        <v>711</v>
      </c>
      <c r="D17" s="28"/>
      <c r="E17" s="28"/>
      <c r="F17" s="28"/>
      <c r="G17" s="28"/>
      <c r="H17" s="28"/>
      <c r="I17" s="107"/>
      <c r="J17" s="28"/>
      <c r="K17" s="28"/>
      <c r="L17" s="28"/>
      <c r="M17" s="28"/>
      <c r="N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91">
        <v>4.7</v>
      </c>
      <c r="C19" s="91">
        <v>9.27</v>
      </c>
      <c r="D19" s="91">
        <v>9.15</v>
      </c>
      <c r="E19" s="91">
        <v>0.52</v>
      </c>
      <c r="F19" s="91">
        <v>0.26</v>
      </c>
      <c r="G19" s="91">
        <v>542</v>
      </c>
      <c r="H19" s="91">
        <v>3570</v>
      </c>
      <c r="I19" s="98">
        <v>81000000</v>
      </c>
      <c r="J19" s="125">
        <f>LOG(I$19)-LOG(I19)</f>
        <v>0</v>
      </c>
      <c r="K19" s="98">
        <v>120000000</v>
      </c>
      <c r="L19" s="91" t="s">
        <v>26</v>
      </c>
      <c r="M19" s="34"/>
      <c r="N19" s="34"/>
      <c r="O19" s="99"/>
      <c r="P19" s="233">
        <f>B$16*A19</f>
        <v>0</v>
      </c>
      <c r="Q19" s="233">
        <f>6/LINEST($J19:$J21,$P19:$P21,FALSE)</f>
        <v>36544.967724722352</v>
      </c>
      <c r="R19" s="249">
        <f>Q19/3000</f>
        <v>12.181655908240783</v>
      </c>
      <c r="S19" s="249">
        <f>(J27/LINEST($J19:$J21,$P19:$P21,FALSE))/$B$16</f>
        <v>16.841139293142881</v>
      </c>
    </row>
    <row r="20" spans="1:19" ht="15.75" thickBot="1" x14ac:dyDescent="0.3">
      <c r="A20" s="32">
        <v>3</v>
      </c>
      <c r="B20" s="58">
        <v>4.7</v>
      </c>
      <c r="C20" s="58">
        <v>9.24</v>
      </c>
      <c r="D20" s="58">
        <v>10.11</v>
      </c>
      <c r="E20" s="58">
        <v>2300</v>
      </c>
      <c r="F20" s="100">
        <v>0.32</v>
      </c>
      <c r="G20" s="58">
        <v>472</v>
      </c>
      <c r="H20" s="58">
        <v>3470</v>
      </c>
      <c r="I20" s="98">
        <v>14000000</v>
      </c>
      <c r="J20" s="125">
        <f>LOG(I$19)-LOG(I20)</f>
        <v>0.76235698320041134</v>
      </c>
      <c r="K20" s="98">
        <v>510000</v>
      </c>
      <c r="L20" s="102">
        <v>2.4</v>
      </c>
      <c r="M20" s="99"/>
      <c r="N20" s="99"/>
      <c r="O20" s="99"/>
      <c r="P20" s="233">
        <f>B$16*A20</f>
        <v>8571.4285714285725</v>
      </c>
      <c r="Q20" s="225"/>
    </row>
    <row r="21" spans="1:19" ht="15.75" thickBot="1" x14ac:dyDescent="0.3">
      <c r="A21" s="32">
        <v>5</v>
      </c>
      <c r="B21" s="103">
        <v>4.5999999999999996</v>
      </c>
      <c r="C21" s="58">
        <v>9.2799999999999994</v>
      </c>
      <c r="D21" s="58">
        <v>10.199999999999999</v>
      </c>
      <c r="E21" s="58">
        <v>2300</v>
      </c>
      <c r="F21" s="58">
        <v>0.27</v>
      </c>
      <c r="G21" s="58">
        <v>469</v>
      </c>
      <c r="H21" s="58"/>
      <c r="I21" s="98">
        <v>150000</v>
      </c>
      <c r="J21" s="125">
        <f>LOG(I$19)-LOG(I21)</f>
        <v>2.7323937598229682</v>
      </c>
      <c r="K21" s="98">
        <v>54000</v>
      </c>
      <c r="L21" s="102">
        <v>3.3</v>
      </c>
      <c r="M21" s="99"/>
      <c r="N21" s="99"/>
      <c r="O21" s="99"/>
      <c r="P21" s="233">
        <f>B$16*A21</f>
        <v>14285.714285714286</v>
      </c>
    </row>
    <row r="22" spans="1:19" ht="15.75" thickBot="1" x14ac:dyDescent="0.3">
      <c r="A22" s="32">
        <v>10</v>
      </c>
      <c r="B22" s="58">
        <v>4.5</v>
      </c>
      <c r="C22" s="58">
        <v>9.33</v>
      </c>
      <c r="D22" s="58">
        <v>10.18</v>
      </c>
      <c r="E22" s="58">
        <v>2400</v>
      </c>
      <c r="F22" s="58">
        <v>0.52</v>
      </c>
      <c r="G22" s="58">
        <v>475</v>
      </c>
      <c r="H22" s="58"/>
      <c r="I22" s="98">
        <v>0</v>
      </c>
      <c r="J22" s="111" t="s">
        <v>405</v>
      </c>
      <c r="K22" s="98">
        <v>0</v>
      </c>
      <c r="L22" s="102" t="s">
        <v>406</v>
      </c>
      <c r="M22" s="99"/>
      <c r="N22" s="99"/>
      <c r="O22" s="99"/>
      <c r="P22" s="233">
        <f>B$16*A22</f>
        <v>28571.428571428572</v>
      </c>
    </row>
    <row r="23" spans="1:19" ht="15.75" thickBot="1" x14ac:dyDescent="0.3">
      <c r="A23" s="32">
        <v>15</v>
      </c>
      <c r="B23" s="58">
        <v>4.4000000000000004</v>
      </c>
      <c r="C23" s="58">
        <v>9.35</v>
      </c>
      <c r="D23" s="58">
        <v>10.210000000000001</v>
      </c>
      <c r="E23" s="58">
        <v>2100</v>
      </c>
      <c r="F23" s="58">
        <v>0.37</v>
      </c>
      <c r="G23" s="58">
        <v>472</v>
      </c>
      <c r="H23" s="58"/>
      <c r="I23" s="98">
        <v>0</v>
      </c>
      <c r="J23" s="111" t="s">
        <v>405</v>
      </c>
      <c r="K23" s="98">
        <v>0</v>
      </c>
      <c r="L23" s="102" t="s">
        <v>406</v>
      </c>
      <c r="M23" s="99"/>
      <c r="N23" s="99"/>
      <c r="O23" s="99"/>
      <c r="P23" s="233"/>
    </row>
    <row r="24" spans="1:19" ht="15.75" thickBot="1" x14ac:dyDescent="0.3">
      <c r="A24" s="32">
        <v>30</v>
      </c>
      <c r="B24" s="58">
        <v>4.0999999999999996</v>
      </c>
      <c r="C24" s="100">
        <v>9.3800000000000008</v>
      </c>
      <c r="D24" s="58">
        <v>10.18</v>
      </c>
      <c r="E24" s="58">
        <v>2300</v>
      </c>
      <c r="F24" s="58">
        <v>0.43</v>
      </c>
      <c r="G24" s="58">
        <v>482</v>
      </c>
      <c r="H24" s="58"/>
      <c r="I24" s="98">
        <v>50</v>
      </c>
      <c r="J24" s="111">
        <v>6.2</v>
      </c>
      <c r="K24" s="98">
        <v>0</v>
      </c>
      <c r="L24" s="102" t="s">
        <v>406</v>
      </c>
      <c r="M24" s="60"/>
      <c r="N24" s="60"/>
      <c r="O24" s="99"/>
      <c r="P24" s="233"/>
    </row>
    <row r="25" spans="1:19" ht="15.75" thickBot="1" x14ac:dyDescent="0.3">
      <c r="A25" s="32">
        <v>60</v>
      </c>
      <c r="B25" s="58">
        <v>3.8</v>
      </c>
      <c r="C25" s="100">
        <v>9.43</v>
      </c>
      <c r="D25" s="58">
        <v>10.3</v>
      </c>
      <c r="E25" s="58">
        <v>2400</v>
      </c>
      <c r="F25" s="58">
        <v>0.39</v>
      </c>
      <c r="G25" s="58">
        <v>469</v>
      </c>
      <c r="H25" s="58">
        <v>3460</v>
      </c>
      <c r="I25" s="98">
        <v>0</v>
      </c>
      <c r="J25" s="111" t="s">
        <v>405</v>
      </c>
      <c r="K25" s="98">
        <v>0</v>
      </c>
      <c r="L25" s="102" t="s">
        <v>406</v>
      </c>
      <c r="M25" s="60">
        <v>208</v>
      </c>
      <c r="N25" s="60">
        <v>15012</v>
      </c>
      <c r="O25" s="89"/>
      <c r="P25" s="233"/>
    </row>
    <row r="26" spans="1:19" ht="15.75" thickBot="1" x14ac:dyDescent="0.3">
      <c r="A26" s="36" t="s">
        <v>242</v>
      </c>
      <c r="B26" s="60">
        <v>3.8</v>
      </c>
      <c r="C26" s="104">
        <v>9.44</v>
      </c>
      <c r="D26" s="60">
        <v>10.3</v>
      </c>
      <c r="E26" s="60">
        <v>2200</v>
      </c>
      <c r="F26" s="60">
        <v>0.38</v>
      </c>
      <c r="G26" s="60">
        <v>473</v>
      </c>
      <c r="H26" s="60">
        <v>3450</v>
      </c>
      <c r="I26" s="98">
        <v>0</v>
      </c>
      <c r="J26" s="111" t="s">
        <v>405</v>
      </c>
      <c r="K26" s="98">
        <v>0</v>
      </c>
      <c r="L26" s="102" t="s">
        <v>406</v>
      </c>
      <c r="M26" s="60">
        <v>178</v>
      </c>
      <c r="N26" s="60">
        <v>14986</v>
      </c>
      <c r="O26" s="99"/>
    </row>
    <row r="27" spans="1:19" x14ac:dyDescent="0.25">
      <c r="B27" s="93">
        <f>AVERAGE(B20:B21)</f>
        <v>4.6500000000000004</v>
      </c>
      <c r="C27" s="93">
        <f>AVERAGE(C20:C21)</f>
        <v>9.26</v>
      </c>
      <c r="D27" s="93"/>
      <c r="E27" s="93"/>
      <c r="F27" s="93"/>
      <c r="G27" s="92"/>
      <c r="H27" s="92"/>
      <c r="I27" s="101"/>
      <c r="J27" s="93">
        <v>7.9</v>
      </c>
      <c r="K27" s="101"/>
      <c r="L27" s="93"/>
      <c r="M27" s="93"/>
      <c r="N27" s="93"/>
      <c r="O27" s="93"/>
    </row>
    <row r="28" spans="1:19" x14ac:dyDescent="0.25">
      <c r="A28" s="28" t="s">
        <v>140</v>
      </c>
      <c r="B28" s="28"/>
      <c r="C28" s="28"/>
      <c r="D28" s="28"/>
      <c r="E28" s="28"/>
      <c r="F28" s="28"/>
      <c r="G28" s="28"/>
      <c r="H28" s="28"/>
      <c r="I28" s="107"/>
      <c r="J28" s="28"/>
      <c r="K28" s="28"/>
      <c r="L28" s="28"/>
      <c r="M28" s="28"/>
      <c r="N28" s="28"/>
    </row>
    <row r="29" spans="1:19" x14ac:dyDescent="0.25">
      <c r="A29" s="28"/>
      <c r="B29" s="28" t="s">
        <v>141</v>
      </c>
      <c r="C29" s="28"/>
      <c r="D29" s="28"/>
      <c r="E29" s="28"/>
      <c r="F29" s="28"/>
      <c r="G29" s="28"/>
      <c r="H29" s="28"/>
      <c r="I29" s="107"/>
      <c r="J29" s="28"/>
      <c r="K29" s="28" t="s">
        <v>34</v>
      </c>
      <c r="L29" s="28" t="s">
        <v>34</v>
      </c>
      <c r="M29" s="28" t="s">
        <v>34</v>
      </c>
      <c r="N29" s="28" t="s">
        <v>34</v>
      </c>
    </row>
    <row r="30" spans="1:19" x14ac:dyDescent="0.25">
      <c r="A30" s="28" t="s">
        <v>272</v>
      </c>
      <c r="B30" s="28"/>
      <c r="C30" s="28"/>
      <c r="D30" s="28"/>
      <c r="E30" s="28"/>
      <c r="F30" s="28"/>
      <c r="G30" s="28"/>
      <c r="H30" s="28"/>
      <c r="I30" s="107"/>
      <c r="J30" s="28"/>
      <c r="K30" s="28" t="s">
        <v>34</v>
      </c>
      <c r="L30" s="28" t="s">
        <v>34</v>
      </c>
      <c r="M30" s="28"/>
      <c r="N30" s="28"/>
    </row>
    <row r="31" spans="1:19" x14ac:dyDescent="0.25">
      <c r="A31" s="59"/>
      <c r="F31" s="28"/>
      <c r="G31" s="28"/>
      <c r="H31" s="28"/>
      <c r="I31" s="107"/>
      <c r="J31" s="28"/>
      <c r="K31" s="28"/>
      <c r="L31" s="28"/>
      <c r="M31" s="28"/>
      <c r="N31" s="28"/>
    </row>
    <row r="32" spans="1:19" x14ac:dyDescent="0.25">
      <c r="A32" s="19" t="s">
        <v>28</v>
      </c>
      <c r="B32" s="28"/>
      <c r="C32" s="28"/>
      <c r="D32" s="28"/>
      <c r="E32" s="28"/>
      <c r="F32" s="28"/>
      <c r="G32" s="28"/>
      <c r="H32" s="28"/>
      <c r="I32" s="107"/>
      <c r="J32" s="28"/>
      <c r="K32" s="28" t="s">
        <v>34</v>
      </c>
      <c r="L32" s="28" t="s">
        <v>34</v>
      </c>
      <c r="M32" s="28" t="s">
        <v>34</v>
      </c>
      <c r="N32" s="28"/>
    </row>
    <row r="33" spans="1:14" x14ac:dyDescent="0.25">
      <c r="A33" s="28"/>
      <c r="B33" s="22"/>
      <c r="C33" s="28"/>
      <c r="D33" s="28"/>
      <c r="E33" s="28"/>
      <c r="F33" s="28"/>
      <c r="G33" s="28"/>
      <c r="H33" s="28"/>
      <c r="I33" s="107"/>
      <c r="J33" s="28"/>
      <c r="K33" s="28"/>
      <c r="L33" s="28" t="s">
        <v>34</v>
      </c>
      <c r="M33" s="28" t="s">
        <v>34</v>
      </c>
      <c r="N33" s="28"/>
    </row>
    <row r="34" spans="1:14" x14ac:dyDescent="0.25">
      <c r="A34" s="28"/>
      <c r="B34" s="41" t="s">
        <v>425</v>
      </c>
      <c r="C34" s="41"/>
      <c r="D34" s="41"/>
      <c r="E34" s="41"/>
      <c r="F34" s="41"/>
      <c r="G34" s="41"/>
      <c r="H34" s="41"/>
      <c r="I34" s="41"/>
      <c r="J34" s="41"/>
      <c r="K34" s="41"/>
      <c r="L34" s="41" t="s">
        <v>34</v>
      </c>
      <c r="M34" s="28"/>
      <c r="N34" s="28"/>
    </row>
    <row r="35" spans="1:14" x14ac:dyDescent="0.25">
      <c r="A35" s="28"/>
      <c r="B35" s="41"/>
      <c r="C35" s="41"/>
      <c r="D35" s="41"/>
      <c r="E35" s="41"/>
      <c r="F35" s="41"/>
      <c r="G35" s="41"/>
      <c r="H35" s="41"/>
      <c r="I35" s="41"/>
      <c r="J35" s="41"/>
      <c r="K35" s="41"/>
      <c r="L35" s="41"/>
      <c r="M35" s="28"/>
      <c r="N35" s="28"/>
    </row>
    <row r="36" spans="1:14" x14ac:dyDescent="0.25">
      <c r="A36" s="28"/>
      <c r="B36" s="22" t="s">
        <v>146</v>
      </c>
      <c r="C36" s="28"/>
      <c r="D36" s="28"/>
      <c r="E36" s="28"/>
      <c r="F36" s="28"/>
      <c r="G36" s="28"/>
      <c r="H36" s="28"/>
      <c r="I36" s="107"/>
      <c r="J36" s="28"/>
      <c r="K36" s="28"/>
      <c r="L36" s="28"/>
      <c r="M36" s="28" t="s">
        <v>34</v>
      </c>
      <c r="N36" s="28"/>
    </row>
    <row r="37" spans="1:14" x14ac:dyDescent="0.25">
      <c r="A37" s="28"/>
      <c r="B37" s="41" t="s">
        <v>418</v>
      </c>
      <c r="C37" s="41"/>
      <c r="D37" s="41"/>
      <c r="E37" s="41"/>
      <c r="F37" s="41"/>
      <c r="G37" s="41"/>
      <c r="H37" s="41"/>
      <c r="I37" s="41"/>
      <c r="J37" s="41"/>
      <c r="K37" s="41"/>
      <c r="L37" s="41"/>
      <c r="M37" s="28"/>
      <c r="N37" s="28"/>
    </row>
    <row r="38" spans="1:14" x14ac:dyDescent="0.25">
      <c r="A38" s="28"/>
      <c r="B38" s="41" t="s">
        <v>390</v>
      </c>
      <c r="C38" s="41"/>
      <c r="D38" s="41"/>
      <c r="E38" s="41"/>
      <c r="F38" s="41"/>
      <c r="G38" s="41"/>
      <c r="H38" s="41"/>
      <c r="I38" s="41"/>
      <c r="J38" s="41"/>
      <c r="K38" s="41"/>
      <c r="L38" s="41"/>
      <c r="M38" s="28"/>
      <c r="N38" s="28"/>
    </row>
    <row r="39" spans="1:14" x14ac:dyDescent="0.25">
      <c r="A39" s="28"/>
      <c r="B39" s="41"/>
      <c r="M39" s="28"/>
      <c r="N39" s="28"/>
    </row>
    <row r="40" spans="1:14" x14ac:dyDescent="0.25">
      <c r="A40" s="28"/>
      <c r="B40" s="69" t="s">
        <v>156</v>
      </c>
      <c r="C40" s="87"/>
      <c r="D40" s="87"/>
      <c r="E40" s="87"/>
      <c r="F40" s="87"/>
      <c r="G40" s="87"/>
      <c r="H40" s="87"/>
      <c r="I40" s="88"/>
      <c r="J40" s="87"/>
      <c r="K40" s="87"/>
      <c r="L40" s="28"/>
      <c r="N40" s="28"/>
    </row>
    <row r="41" spans="1:14" x14ac:dyDescent="0.25">
      <c r="A41" s="28"/>
      <c r="B41" s="41" t="s">
        <v>426</v>
      </c>
      <c r="C41" s="41"/>
      <c r="D41" s="41"/>
      <c r="E41" s="41"/>
      <c r="F41" s="41"/>
      <c r="G41" s="41"/>
      <c r="H41" s="41"/>
      <c r="I41" s="41"/>
      <c r="J41" s="41"/>
      <c r="K41" s="41"/>
      <c r="L41" s="41"/>
      <c r="N41" s="28"/>
    </row>
    <row r="42" spans="1:14" x14ac:dyDescent="0.25">
      <c r="A42" s="28"/>
      <c r="B42" s="41"/>
      <c r="C42" s="41"/>
      <c r="D42" s="41"/>
      <c r="E42" s="41"/>
      <c r="F42" s="41"/>
      <c r="G42" s="41"/>
      <c r="H42" s="41"/>
      <c r="I42" s="41"/>
      <c r="J42" s="41"/>
      <c r="K42" s="41"/>
      <c r="L42" s="41"/>
      <c r="N42" s="28"/>
    </row>
    <row r="43" spans="1:14" x14ac:dyDescent="0.25">
      <c r="A43" s="28"/>
      <c r="B43" s="75" t="s">
        <v>36</v>
      </c>
      <c r="C43" s="28"/>
      <c r="D43" s="28"/>
      <c r="E43" s="28"/>
      <c r="F43" s="28"/>
      <c r="G43" s="28"/>
      <c r="H43" s="28"/>
      <c r="I43" s="107"/>
      <c r="J43" s="28"/>
      <c r="K43" s="28"/>
      <c r="M43" s="28"/>
      <c r="N43" s="28"/>
    </row>
    <row r="44" spans="1:14" x14ac:dyDescent="0.25">
      <c r="A44" s="28"/>
      <c r="B44" s="22" t="s">
        <v>392</v>
      </c>
      <c r="M44" s="28"/>
      <c r="N44" s="28"/>
    </row>
    <row r="45" spans="1:14" x14ac:dyDescent="0.25">
      <c r="B45" s="41"/>
      <c r="N45" s="28"/>
    </row>
    <row r="46" spans="1:14" x14ac:dyDescent="0.25">
      <c r="B46" s="22" t="s">
        <v>427</v>
      </c>
    </row>
    <row r="47" spans="1:14" x14ac:dyDescent="0.25">
      <c r="B47" s="41" t="s">
        <v>393</v>
      </c>
      <c r="L47" s="28"/>
    </row>
    <row r="48" spans="1:14" x14ac:dyDescent="0.25">
      <c r="N48" t="s">
        <v>34</v>
      </c>
    </row>
    <row r="49" spans="2:16" x14ac:dyDescent="0.25">
      <c r="B49" s="41" t="s">
        <v>421</v>
      </c>
      <c r="C49" s="90"/>
      <c r="D49" s="90"/>
      <c r="E49" s="90"/>
      <c r="F49" s="90"/>
      <c r="G49" s="90"/>
      <c r="H49" s="90"/>
      <c r="I49" s="90"/>
      <c r="J49" s="90"/>
      <c r="K49" s="90"/>
      <c r="L49" s="65"/>
      <c r="M49" s="90"/>
    </row>
    <row r="50" spans="2:16" x14ac:dyDescent="0.25">
      <c r="B50" s="22" t="s">
        <v>454</v>
      </c>
      <c r="C50" s="41"/>
      <c r="D50" s="41"/>
      <c r="E50" s="41"/>
      <c r="F50" s="41"/>
      <c r="G50" s="41"/>
      <c r="H50" s="41"/>
      <c r="I50" s="41"/>
      <c r="J50" s="41"/>
      <c r="K50" s="41"/>
      <c r="L50" s="41"/>
      <c r="M50" s="41"/>
    </row>
    <row r="51" spans="2:16" x14ac:dyDescent="0.25">
      <c r="B51" s="429" t="s">
        <v>453</v>
      </c>
      <c r="C51" s="429"/>
      <c r="D51" s="429"/>
      <c r="E51" s="429"/>
      <c r="F51" s="429"/>
      <c r="G51" s="429"/>
      <c r="H51" s="429"/>
      <c r="I51" s="429"/>
      <c r="J51" s="429"/>
      <c r="K51" s="429"/>
      <c r="L51" s="429"/>
      <c r="M51" s="429"/>
      <c r="N51" s="429"/>
      <c r="O51" s="429"/>
      <c r="P51" s="429"/>
    </row>
    <row r="52" spans="2:16" x14ac:dyDescent="0.25">
      <c r="B52" s="112" t="s">
        <v>452</v>
      </c>
      <c r="C52" s="112"/>
      <c r="D52" s="112"/>
      <c r="E52" s="112"/>
      <c r="F52" s="112"/>
      <c r="G52" s="112"/>
      <c r="H52" s="112"/>
      <c r="I52" s="112"/>
      <c r="J52" s="112"/>
      <c r="K52" s="112"/>
      <c r="L52" s="112"/>
      <c r="M52" s="112"/>
      <c r="N52" s="112"/>
      <c r="O52" s="112"/>
      <c r="P52" s="112"/>
    </row>
    <row r="53" spans="2:16" x14ac:dyDescent="0.25">
      <c r="B53" s="22" t="s">
        <v>423</v>
      </c>
      <c r="C53" s="28"/>
      <c r="D53" s="28"/>
      <c r="E53" s="28"/>
      <c r="F53" s="28"/>
      <c r="G53" s="28"/>
      <c r="H53" s="28"/>
      <c r="I53" s="107"/>
      <c r="J53" s="28"/>
      <c r="K53" s="90"/>
      <c r="L53" s="90"/>
      <c r="M53" s="90"/>
    </row>
    <row r="54" spans="2:16" x14ac:dyDescent="0.25">
      <c r="B54" s="22" t="s">
        <v>428</v>
      </c>
      <c r="C54" s="90"/>
      <c r="D54" s="90"/>
      <c r="E54" s="90"/>
      <c r="F54" s="90"/>
      <c r="G54" s="90"/>
      <c r="H54" s="90"/>
      <c r="I54" s="90"/>
      <c r="J54" s="90"/>
      <c r="K54" s="90"/>
      <c r="L54" s="90"/>
      <c r="M54" s="90"/>
    </row>
    <row r="55" spans="2:16" x14ac:dyDescent="0.25">
      <c r="B55" s="90"/>
      <c r="C55" s="90"/>
      <c r="D55" s="90"/>
      <c r="E55" s="90"/>
      <c r="F55" s="90"/>
      <c r="G55" s="90"/>
      <c r="H55" s="90"/>
      <c r="I55" s="90"/>
      <c r="J55" s="90"/>
      <c r="K55" s="90"/>
      <c r="L55" s="90"/>
      <c r="M55" s="90"/>
    </row>
    <row r="56" spans="2:16" x14ac:dyDescent="0.25">
      <c r="B56" s="41" t="s">
        <v>154</v>
      </c>
      <c r="C56" s="41"/>
      <c r="D56" s="41"/>
      <c r="E56" s="41"/>
      <c r="F56" s="41"/>
      <c r="G56" s="41"/>
      <c r="H56" s="41"/>
      <c r="I56" s="41"/>
      <c r="J56" s="41"/>
      <c r="K56" s="41"/>
      <c r="L56" s="90"/>
      <c r="M56" s="90"/>
    </row>
    <row r="57" spans="2:16" x14ac:dyDescent="0.25">
      <c r="B57" s="41" t="s">
        <v>155</v>
      </c>
      <c r="C57" s="41"/>
      <c r="D57" s="41"/>
      <c r="E57" s="41"/>
      <c r="F57" s="41"/>
      <c r="G57" s="41"/>
      <c r="H57" s="41"/>
      <c r="I57" s="41"/>
      <c r="J57" s="41"/>
      <c r="K57" s="41"/>
      <c r="L57" s="90"/>
      <c r="M57" s="90"/>
    </row>
    <row r="58" spans="2:16" x14ac:dyDescent="0.25">
      <c r="B58" s="22" t="s">
        <v>157</v>
      </c>
      <c r="C58" s="28"/>
      <c r="D58" s="28"/>
      <c r="E58" s="28"/>
      <c r="F58" s="28"/>
      <c r="G58" s="28"/>
      <c r="H58" s="107"/>
      <c r="I58" s="28"/>
      <c r="J58" s="41"/>
      <c r="K58" s="28"/>
      <c r="L58" s="90"/>
      <c r="M58" s="90"/>
    </row>
  </sheetData>
  <mergeCells count="1">
    <mergeCell ref="B51:P51"/>
  </mergeCells>
  <pageMargins left="0.7" right="0.7" top="0.75" bottom="0.75" header="0.3" footer="0.3"/>
  <pageSetup scale="66" orientation="landscape" r:id="rId1"/>
  <drawing r:id="rId2"/>
  <legacyDrawing r:id="rId3"/>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7">
    <pageSetUpPr fitToPage="1"/>
  </sheetPr>
  <dimension ref="A6:S57"/>
  <sheetViews>
    <sheetView zoomScale="90" zoomScaleNormal="90" workbookViewId="0"/>
  </sheetViews>
  <sheetFormatPr defaultRowHeight="15" x14ac:dyDescent="0.25"/>
  <cols>
    <col min="1" max="1" width="7.7109375" customWidth="1"/>
    <col min="2" max="2" width="9.7109375" customWidth="1"/>
    <col min="3" max="3" width="6.140625" customWidth="1"/>
    <col min="8" max="8" width="8.85546875" customWidth="1"/>
    <col min="10" max="10" width="9" customWidth="1"/>
    <col min="12" max="12" width="8.140625" customWidth="1"/>
    <col min="13" max="13" width="7.28515625" customWidth="1"/>
    <col min="14" max="14" width="9.28515625" customWidth="1"/>
  </cols>
  <sheetData>
    <row r="6" spans="1:15" x14ac:dyDescent="0.25">
      <c r="A6" s="7" t="s">
        <v>12</v>
      </c>
      <c r="B6" s="28"/>
      <c r="C6" s="28"/>
      <c r="D6" s="28"/>
      <c r="E6" s="28"/>
      <c r="F6" s="28"/>
      <c r="G6" s="28"/>
      <c r="H6" s="28"/>
      <c r="I6" s="109"/>
      <c r="J6" s="28"/>
      <c r="K6" s="28"/>
      <c r="L6" s="28"/>
      <c r="M6" s="28"/>
      <c r="N6" s="28"/>
      <c r="O6" s="28"/>
    </row>
    <row r="7" spans="1:15" x14ac:dyDescent="0.25">
      <c r="A7" s="30" t="s">
        <v>13</v>
      </c>
      <c r="B7" s="30">
        <v>41149</v>
      </c>
    </row>
    <row r="8" spans="1:15" x14ac:dyDescent="0.25">
      <c r="A8" s="28" t="s">
        <v>14</v>
      </c>
      <c r="B8" s="28">
        <v>33</v>
      </c>
      <c r="C8" s="28" t="s">
        <v>408</v>
      </c>
      <c r="D8" s="28"/>
      <c r="E8" s="28"/>
      <c r="F8" s="28"/>
      <c r="G8" s="28"/>
      <c r="H8" s="28"/>
      <c r="I8" s="109"/>
      <c r="J8" s="28"/>
      <c r="K8" s="28" t="s">
        <v>34</v>
      </c>
      <c r="L8" s="28" t="s">
        <v>34</v>
      </c>
      <c r="M8" s="28"/>
      <c r="N8" s="28"/>
    </row>
    <row r="9" spans="1:15" x14ac:dyDescent="0.25">
      <c r="A9" s="28" t="s">
        <v>15</v>
      </c>
      <c r="B9" s="28" t="s">
        <v>395</v>
      </c>
      <c r="C9" s="28" t="s">
        <v>387</v>
      </c>
      <c r="D9" s="28"/>
      <c r="E9" s="28"/>
      <c r="F9" s="28"/>
      <c r="G9" s="28"/>
      <c r="H9" s="28"/>
      <c r="I9" s="109"/>
      <c r="J9" s="28"/>
      <c r="K9" s="28"/>
      <c r="L9" s="28"/>
      <c r="M9" s="28"/>
      <c r="N9" s="28"/>
    </row>
    <row r="10" spans="1:15" x14ac:dyDescent="0.25">
      <c r="A10" s="28" t="s">
        <v>16</v>
      </c>
      <c r="B10">
        <v>2000</v>
      </c>
      <c r="C10" s="31" t="s">
        <v>143</v>
      </c>
      <c r="D10" s="28"/>
      <c r="E10" s="28"/>
      <c r="F10" s="28"/>
      <c r="G10" s="28"/>
      <c r="H10" s="28"/>
      <c r="I10" s="109" t="s">
        <v>34</v>
      </c>
      <c r="J10" s="28" t="s">
        <v>34</v>
      </c>
      <c r="K10" s="28" t="s">
        <v>34</v>
      </c>
      <c r="L10" s="28" t="s">
        <v>34</v>
      </c>
      <c r="M10" s="28" t="s">
        <v>34</v>
      </c>
      <c r="N10" s="28" t="s">
        <v>34</v>
      </c>
    </row>
    <row r="11" spans="1:15" x14ac:dyDescent="0.25">
      <c r="A11" s="28"/>
      <c r="B11" s="243">
        <v>200000000</v>
      </c>
      <c r="C11" s="31" t="s">
        <v>58</v>
      </c>
      <c r="D11" s="28"/>
      <c r="E11" s="28"/>
      <c r="F11" s="28"/>
      <c r="G11" s="28"/>
      <c r="H11" s="28"/>
      <c r="I11" s="109"/>
      <c r="J11" s="28"/>
      <c r="K11" s="28" t="s">
        <v>34</v>
      </c>
      <c r="L11" s="28"/>
      <c r="M11" s="28"/>
      <c r="N11" s="28"/>
    </row>
    <row r="12" spans="1:15" x14ac:dyDescent="0.25">
      <c r="A12" s="28"/>
      <c r="B12">
        <v>95</v>
      </c>
      <c r="C12" s="31" t="s">
        <v>44</v>
      </c>
      <c r="D12" s="28"/>
      <c r="E12" s="28"/>
      <c r="F12" s="28"/>
      <c r="G12" s="28"/>
      <c r="H12" s="28"/>
      <c r="I12" s="109"/>
      <c r="J12" s="28"/>
      <c r="K12" s="28"/>
      <c r="L12" s="28"/>
      <c r="M12" s="28"/>
      <c r="N12" s="28"/>
    </row>
    <row r="13" spans="1:15" x14ac:dyDescent="0.25">
      <c r="A13" s="28"/>
      <c r="B13" s="244">
        <v>6</v>
      </c>
      <c r="C13" s="28" t="s">
        <v>697</v>
      </c>
      <c r="D13" s="28"/>
      <c r="E13" s="28"/>
      <c r="F13" s="28"/>
      <c r="G13" s="28"/>
      <c r="H13" s="28"/>
      <c r="I13" s="286"/>
      <c r="J13" s="28"/>
      <c r="K13" s="28"/>
      <c r="L13" s="28"/>
      <c r="M13" s="28"/>
      <c r="N13" s="28"/>
    </row>
    <row r="14" spans="1:15" x14ac:dyDescent="0.25">
      <c r="A14" s="28"/>
      <c r="B14" s="244">
        <v>100</v>
      </c>
      <c r="C14" s="87" t="s">
        <v>696</v>
      </c>
      <c r="D14" s="28"/>
      <c r="E14" s="28"/>
      <c r="F14" s="28"/>
      <c r="G14" s="28"/>
      <c r="H14" s="28"/>
      <c r="I14" s="286"/>
      <c r="J14" s="28"/>
      <c r="K14" s="28"/>
      <c r="L14" s="28"/>
      <c r="M14" s="28"/>
      <c r="N14" s="28"/>
    </row>
    <row r="15" spans="1:15" x14ac:dyDescent="0.25">
      <c r="A15" s="28"/>
      <c r="B15" s="244">
        <v>0</v>
      </c>
      <c r="C15" s="87" t="s">
        <v>698</v>
      </c>
      <c r="D15" s="28"/>
      <c r="E15" s="28"/>
      <c r="F15" s="28"/>
      <c r="G15" s="28"/>
      <c r="H15" s="28"/>
      <c r="I15" s="286"/>
      <c r="J15" s="28"/>
      <c r="K15" s="28"/>
      <c r="L15" s="28"/>
      <c r="M15" s="28"/>
      <c r="N15" s="28"/>
    </row>
    <row r="16" spans="1:15" x14ac:dyDescent="0.25">
      <c r="A16" s="28"/>
      <c r="B16" s="245">
        <f>(B12*B13/100*1000)/(B10+B12-B14+B15)*1000</f>
        <v>2857.1428571428573</v>
      </c>
      <c r="C16" s="28" t="s">
        <v>700</v>
      </c>
      <c r="D16" s="28"/>
      <c r="E16" s="28"/>
      <c r="F16" s="28"/>
      <c r="G16" s="28"/>
      <c r="H16" s="28"/>
      <c r="I16" s="286"/>
      <c r="J16" s="28"/>
      <c r="K16" s="28"/>
      <c r="L16" s="28"/>
      <c r="M16" s="28"/>
      <c r="N16" s="28"/>
    </row>
    <row r="17" spans="1:19" ht="15.75" thickBot="1" x14ac:dyDescent="0.3">
      <c r="A17" s="28"/>
      <c r="C17" s="87" t="s">
        <v>711</v>
      </c>
      <c r="D17" s="28"/>
      <c r="E17" s="28"/>
      <c r="F17" s="28"/>
      <c r="G17" s="28"/>
      <c r="H17" s="28"/>
      <c r="I17" s="109"/>
      <c r="J17" s="28"/>
      <c r="K17" s="28"/>
      <c r="L17" s="28"/>
      <c r="M17" s="28"/>
      <c r="N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91">
        <v>4.9000000000000004</v>
      </c>
      <c r="C19" s="105">
        <v>9.35</v>
      </c>
      <c r="D19" s="105">
        <v>9.26</v>
      </c>
      <c r="E19" s="91">
        <v>0.5</v>
      </c>
      <c r="F19" s="105">
        <v>0.16</v>
      </c>
      <c r="G19" s="91">
        <v>456</v>
      </c>
      <c r="H19" s="91">
        <v>3490</v>
      </c>
      <c r="I19" s="98">
        <v>80000000</v>
      </c>
      <c r="J19" s="125">
        <f>LOG(I$19)-LOG(I19)</f>
        <v>0</v>
      </c>
      <c r="K19" s="98">
        <v>740000000</v>
      </c>
      <c r="L19" s="91" t="s">
        <v>26</v>
      </c>
      <c r="M19" s="34"/>
      <c r="N19" s="34"/>
      <c r="O19" s="99"/>
      <c r="P19" s="233">
        <f>B$16*A19</f>
        <v>0</v>
      </c>
      <c r="Q19" s="233">
        <f>6/LINEST($J19:$J22,$P19:$P22,FALSE)</f>
        <v>37068.377038801264</v>
      </c>
      <c r="R19" s="249">
        <f>Q19/3000</f>
        <v>12.356125679600421</v>
      </c>
      <c r="S19" s="249">
        <f>(J27/LINEST($J19:$J22,$P19:$P22,FALSE))/$B$16</f>
        <v>17.082343752047581</v>
      </c>
    </row>
    <row r="20" spans="1:19" ht="15.75" thickBot="1" x14ac:dyDescent="0.3">
      <c r="A20" s="32">
        <v>3</v>
      </c>
      <c r="B20" s="103">
        <v>5.2</v>
      </c>
      <c r="C20" s="100">
        <v>9.31</v>
      </c>
      <c r="D20" s="100">
        <v>10.220000000000001</v>
      </c>
      <c r="E20" s="58">
        <v>2000</v>
      </c>
      <c r="F20" s="100">
        <v>0.35</v>
      </c>
      <c r="G20" s="58">
        <v>467</v>
      </c>
      <c r="H20" s="58">
        <v>3660</v>
      </c>
      <c r="I20" s="98">
        <v>2400000</v>
      </c>
      <c r="J20" s="125">
        <f>LOG(I$19)-LOG(I20)</f>
        <v>1.5228787452803374</v>
      </c>
      <c r="K20" s="98">
        <v>110000</v>
      </c>
      <c r="L20" s="102">
        <f>LOG(K19)-LOG(K20)</f>
        <v>3.8278390345727509</v>
      </c>
      <c r="M20" s="99"/>
      <c r="N20" s="99"/>
      <c r="O20" s="99"/>
      <c r="P20" s="233">
        <f>B$16*A20</f>
        <v>8571.4285714285725</v>
      </c>
      <c r="Q20" s="225"/>
    </row>
    <row r="21" spans="1:19" ht="15.75" thickBot="1" x14ac:dyDescent="0.3">
      <c r="A21" s="32">
        <v>5</v>
      </c>
      <c r="B21" s="58">
        <v>5.2</v>
      </c>
      <c r="C21" s="100">
        <v>9.6199999999999992</v>
      </c>
      <c r="D21" s="100">
        <v>10.23</v>
      </c>
      <c r="E21" s="58">
        <v>2400</v>
      </c>
      <c r="F21" s="100">
        <v>0.35</v>
      </c>
      <c r="G21" s="58">
        <v>477</v>
      </c>
      <c r="H21" s="58"/>
      <c r="I21" s="98">
        <v>1400000</v>
      </c>
      <c r="J21" s="125">
        <f>LOG(I$19)-LOG(I21)</f>
        <v>1.7569619513137056</v>
      </c>
      <c r="K21" s="98">
        <v>5000</v>
      </c>
      <c r="L21" s="102">
        <f>LOG(K19)-LOG(K21)</f>
        <v>5.1702617153949575</v>
      </c>
      <c r="M21" s="99"/>
      <c r="N21" s="99"/>
      <c r="O21" s="99"/>
      <c r="P21" s="233">
        <f>B$16*A21</f>
        <v>14285.714285714286</v>
      </c>
    </row>
    <row r="22" spans="1:19" ht="15.75" thickBot="1" x14ac:dyDescent="0.3">
      <c r="A22" s="32">
        <v>10</v>
      </c>
      <c r="B22" s="58">
        <v>5.0999999999999996</v>
      </c>
      <c r="C22" s="100">
        <v>9.98</v>
      </c>
      <c r="D22" s="100">
        <v>10.23</v>
      </c>
      <c r="E22" s="58">
        <v>2400</v>
      </c>
      <c r="F22" s="100">
        <v>0.55000000000000004</v>
      </c>
      <c r="G22" s="58">
        <v>468</v>
      </c>
      <c r="H22" s="58"/>
      <c r="I22" s="98">
        <v>1100</v>
      </c>
      <c r="J22" s="125">
        <f>LOG(I$19)-LOG(I22)</f>
        <v>4.8616973018337184</v>
      </c>
      <c r="K22" s="98">
        <v>0</v>
      </c>
      <c r="L22" s="102" t="s">
        <v>409</v>
      </c>
      <c r="M22" s="99"/>
      <c r="N22" s="99"/>
      <c r="O22" s="99"/>
      <c r="P22" s="233">
        <f>B$16*A22</f>
        <v>28571.428571428572</v>
      </c>
    </row>
    <row r="23" spans="1:19" ht="15.75" thickBot="1" x14ac:dyDescent="0.3">
      <c r="A23" s="32">
        <v>15</v>
      </c>
      <c r="B23" s="58">
        <v>5.0999999999999996</v>
      </c>
      <c r="C23" s="100">
        <v>9.83</v>
      </c>
      <c r="D23" s="100">
        <v>10.26</v>
      </c>
      <c r="E23" s="58">
        <v>2300</v>
      </c>
      <c r="F23" s="100">
        <v>0.34</v>
      </c>
      <c r="G23" s="58">
        <v>476</v>
      </c>
      <c r="H23" s="58"/>
      <c r="I23" s="98">
        <v>0</v>
      </c>
      <c r="J23" s="102" t="s">
        <v>405</v>
      </c>
      <c r="K23" s="98">
        <v>0</v>
      </c>
      <c r="L23" s="102" t="s">
        <v>409</v>
      </c>
      <c r="M23" s="99"/>
      <c r="N23" s="99"/>
      <c r="O23" s="99"/>
      <c r="P23" s="233"/>
    </row>
    <row r="24" spans="1:19" ht="15.75" thickBot="1" x14ac:dyDescent="0.3">
      <c r="A24" s="32">
        <v>30</v>
      </c>
      <c r="B24" s="58">
        <v>4.9000000000000004</v>
      </c>
      <c r="C24" s="100">
        <v>10.1</v>
      </c>
      <c r="D24" s="100">
        <v>10.3</v>
      </c>
      <c r="E24" s="58">
        <v>2300</v>
      </c>
      <c r="F24" s="100">
        <v>0.48</v>
      </c>
      <c r="G24" s="58">
        <v>479</v>
      </c>
      <c r="H24" s="58"/>
      <c r="I24" s="98">
        <v>0</v>
      </c>
      <c r="J24" s="102" t="s">
        <v>405</v>
      </c>
      <c r="K24" s="98">
        <v>0</v>
      </c>
      <c r="L24" s="102" t="s">
        <v>409</v>
      </c>
      <c r="M24" s="60"/>
      <c r="N24" s="60"/>
      <c r="O24" s="99"/>
      <c r="P24" s="233"/>
    </row>
    <row r="25" spans="1:19" ht="15.75" thickBot="1" x14ac:dyDescent="0.3">
      <c r="A25" s="32">
        <v>60</v>
      </c>
      <c r="B25" s="58">
        <v>4.5</v>
      </c>
      <c r="C25" s="58">
        <v>10.050000000000001</v>
      </c>
      <c r="D25" s="58">
        <v>10.33</v>
      </c>
      <c r="E25" s="58">
        <v>2200</v>
      </c>
      <c r="F25" s="100">
        <v>0.47</v>
      </c>
      <c r="G25" s="58">
        <v>466</v>
      </c>
      <c r="H25" s="58">
        <v>3610</v>
      </c>
      <c r="I25" s="98">
        <v>0</v>
      </c>
      <c r="J25" s="102" t="s">
        <v>405</v>
      </c>
      <c r="K25" s="98">
        <v>0</v>
      </c>
      <c r="L25" s="102" t="s">
        <v>409</v>
      </c>
      <c r="M25" s="60">
        <v>248</v>
      </c>
      <c r="N25" s="60">
        <v>14532</v>
      </c>
      <c r="O25" s="89">
        <v>5760</v>
      </c>
      <c r="P25" s="233"/>
    </row>
    <row r="26" spans="1:19" ht="15.75" thickBot="1" x14ac:dyDescent="0.3">
      <c r="A26" s="36" t="s">
        <v>242</v>
      </c>
      <c r="B26" s="60">
        <v>4.5</v>
      </c>
      <c r="C26" s="60">
        <v>10.01</v>
      </c>
      <c r="D26" s="60">
        <v>10.32</v>
      </c>
      <c r="E26" s="60">
        <v>2100</v>
      </c>
      <c r="F26" s="104">
        <v>0.28000000000000003</v>
      </c>
      <c r="G26" s="60">
        <v>470</v>
      </c>
      <c r="H26" s="60">
        <v>3480</v>
      </c>
      <c r="I26" s="98">
        <v>0</v>
      </c>
      <c r="J26" s="102" t="s">
        <v>405</v>
      </c>
      <c r="K26" s="98">
        <v>0</v>
      </c>
      <c r="L26" s="102" t="s">
        <v>409</v>
      </c>
      <c r="M26" s="60">
        <v>238</v>
      </c>
      <c r="N26" s="60">
        <v>13700</v>
      </c>
      <c r="O26" s="99"/>
    </row>
    <row r="27" spans="1:19" x14ac:dyDescent="0.25">
      <c r="B27" s="93">
        <f>AVERAGE(B20:B22)</f>
        <v>5.166666666666667</v>
      </c>
      <c r="C27" s="93">
        <f>AVERAGE(C20:C22)</f>
        <v>9.6366666666666667</v>
      </c>
      <c r="D27" s="93"/>
      <c r="E27" s="93"/>
      <c r="F27" s="93"/>
      <c r="G27" s="92"/>
      <c r="H27" s="92"/>
      <c r="I27" s="101"/>
      <c r="J27" s="93">
        <v>7.9</v>
      </c>
      <c r="K27" s="101"/>
      <c r="L27" s="93"/>
      <c r="M27" s="93"/>
      <c r="N27" s="93"/>
      <c r="O27" s="93"/>
    </row>
    <row r="28" spans="1:19" x14ac:dyDescent="0.25">
      <c r="A28" s="28" t="s">
        <v>140</v>
      </c>
      <c r="B28" s="28"/>
      <c r="C28" s="28"/>
      <c r="D28" s="28"/>
      <c r="E28" s="28"/>
      <c r="F28" s="28"/>
      <c r="G28" s="28"/>
      <c r="H28" s="28"/>
      <c r="I28" s="109"/>
      <c r="J28" s="28"/>
      <c r="K28" s="28"/>
      <c r="L28" s="28"/>
      <c r="M28" s="28"/>
      <c r="N28" s="28"/>
    </row>
    <row r="29" spans="1:19" x14ac:dyDescent="0.25">
      <c r="A29" s="28"/>
      <c r="B29" s="28" t="s">
        <v>141</v>
      </c>
      <c r="C29" s="28"/>
      <c r="D29" s="28"/>
      <c r="E29" s="28"/>
      <c r="F29" s="28"/>
      <c r="G29" s="28"/>
      <c r="H29" s="28"/>
      <c r="I29" s="109"/>
      <c r="J29" s="28"/>
      <c r="K29" s="28" t="s">
        <v>34</v>
      </c>
      <c r="L29" s="28" t="s">
        <v>34</v>
      </c>
      <c r="M29" s="28"/>
      <c r="N29" s="28" t="s">
        <v>34</v>
      </c>
    </row>
    <row r="30" spans="1:19" x14ac:dyDescent="0.25">
      <c r="A30" s="28" t="s">
        <v>272</v>
      </c>
      <c r="B30" s="28"/>
      <c r="C30" s="28"/>
      <c r="D30" s="28"/>
      <c r="E30" s="28"/>
      <c r="F30" s="28"/>
      <c r="G30" s="28"/>
      <c r="H30" s="28"/>
      <c r="I30" s="109"/>
      <c r="J30" s="28"/>
      <c r="K30" s="28" t="s">
        <v>34</v>
      </c>
      <c r="L30" s="28" t="s">
        <v>34</v>
      </c>
      <c r="M30" s="28"/>
      <c r="N30" s="28"/>
    </row>
    <row r="31" spans="1:19" x14ac:dyDescent="0.25">
      <c r="A31" s="59"/>
      <c r="F31" s="28"/>
      <c r="G31" s="28"/>
      <c r="H31" s="28"/>
      <c r="I31" s="109"/>
      <c r="J31" s="28"/>
      <c r="K31" s="28"/>
      <c r="L31" s="28"/>
      <c r="M31" s="28"/>
      <c r="N31" s="28"/>
    </row>
    <row r="32" spans="1:19" x14ac:dyDescent="0.25">
      <c r="A32" s="19" t="s">
        <v>28</v>
      </c>
      <c r="B32" s="28"/>
      <c r="C32" s="28"/>
      <c r="D32" s="28"/>
      <c r="E32" s="28"/>
      <c r="F32" s="28"/>
      <c r="G32" s="28"/>
      <c r="H32" s="28"/>
      <c r="I32" s="109"/>
      <c r="J32" s="28"/>
      <c r="K32" s="28" t="s">
        <v>34</v>
      </c>
      <c r="L32" s="28" t="s">
        <v>34</v>
      </c>
      <c r="M32" s="28" t="s">
        <v>34</v>
      </c>
      <c r="N32" s="28"/>
    </row>
    <row r="33" spans="1:14" x14ac:dyDescent="0.25">
      <c r="A33" s="28"/>
      <c r="B33" s="22"/>
      <c r="C33" s="28"/>
      <c r="D33" s="28"/>
      <c r="E33" s="28"/>
      <c r="F33" s="28"/>
      <c r="G33" s="28"/>
      <c r="H33" s="28"/>
      <c r="I33" s="109"/>
      <c r="J33" s="28"/>
      <c r="K33" s="28"/>
      <c r="L33" s="28" t="s">
        <v>34</v>
      </c>
      <c r="M33" s="28" t="s">
        <v>34</v>
      </c>
      <c r="N33" s="28"/>
    </row>
    <row r="34" spans="1:14" x14ac:dyDescent="0.25">
      <c r="A34" s="28"/>
      <c r="B34" s="41" t="s">
        <v>430</v>
      </c>
      <c r="C34" s="41"/>
      <c r="D34" s="41"/>
      <c r="E34" s="41"/>
      <c r="F34" s="41"/>
      <c r="G34" s="41"/>
      <c r="H34" s="41"/>
      <c r="I34" s="41"/>
      <c r="J34" s="41"/>
      <c r="K34" s="41"/>
      <c r="L34" s="41" t="s">
        <v>34</v>
      </c>
      <c r="M34" s="28"/>
      <c r="N34" s="28"/>
    </row>
    <row r="35" spans="1:14" x14ac:dyDescent="0.25">
      <c r="A35" s="28"/>
      <c r="B35" s="41"/>
      <c r="C35" s="41"/>
      <c r="D35" s="41"/>
      <c r="E35" s="41"/>
      <c r="F35" s="41"/>
      <c r="G35" s="41"/>
      <c r="H35" s="41"/>
      <c r="I35" s="41"/>
      <c r="J35" s="41"/>
      <c r="K35" s="41"/>
      <c r="L35" s="41"/>
      <c r="M35" s="28"/>
      <c r="N35" s="28"/>
    </row>
    <row r="36" spans="1:14" x14ac:dyDescent="0.25">
      <c r="A36" s="28"/>
      <c r="B36" s="22" t="s">
        <v>146</v>
      </c>
      <c r="C36" s="28"/>
      <c r="D36" s="28"/>
      <c r="E36" s="28"/>
      <c r="F36" s="28"/>
      <c r="G36" s="28"/>
      <c r="H36" s="28"/>
      <c r="I36" s="109"/>
      <c r="J36" s="28"/>
      <c r="K36" s="28"/>
      <c r="L36" s="28"/>
      <c r="M36" s="28" t="s">
        <v>34</v>
      </c>
      <c r="N36" s="28"/>
    </row>
    <row r="37" spans="1:14" x14ac:dyDescent="0.25">
      <c r="A37" s="28"/>
      <c r="B37" s="41" t="s">
        <v>429</v>
      </c>
      <c r="C37" s="41"/>
      <c r="D37" s="41"/>
      <c r="E37" s="41"/>
      <c r="F37" s="41"/>
      <c r="G37" s="41"/>
      <c r="H37" s="41"/>
      <c r="I37" s="41"/>
      <c r="J37" s="41"/>
      <c r="K37" s="41"/>
      <c r="L37" s="41"/>
      <c r="M37" s="28"/>
      <c r="N37" s="28"/>
    </row>
    <row r="38" spans="1:14" x14ac:dyDescent="0.25">
      <c r="A38" s="28"/>
      <c r="B38" s="41" t="s">
        <v>390</v>
      </c>
      <c r="C38" s="41"/>
      <c r="D38" s="41"/>
      <c r="E38" s="41"/>
      <c r="F38" s="41"/>
      <c r="G38" s="41"/>
      <c r="H38" s="41"/>
      <c r="I38" s="41"/>
      <c r="J38" s="41"/>
      <c r="K38" s="41"/>
      <c r="L38" s="41"/>
      <c r="M38" s="28"/>
      <c r="N38" s="28"/>
    </row>
    <row r="39" spans="1:14" x14ac:dyDescent="0.25">
      <c r="A39" s="28"/>
      <c r="B39" s="41"/>
      <c r="M39" s="28"/>
      <c r="N39" s="28"/>
    </row>
    <row r="40" spans="1:14" x14ac:dyDescent="0.25">
      <c r="A40" s="28"/>
      <c r="B40" s="69" t="s">
        <v>156</v>
      </c>
      <c r="C40" s="87"/>
      <c r="D40" s="87"/>
      <c r="E40" s="87"/>
      <c r="F40" s="87"/>
      <c r="G40" s="87"/>
      <c r="H40" s="87"/>
      <c r="I40" s="88"/>
      <c r="J40" s="87"/>
      <c r="K40" s="87"/>
      <c r="L40" s="28"/>
      <c r="N40" s="28"/>
    </row>
    <row r="41" spans="1:14" x14ac:dyDescent="0.25">
      <c r="A41" s="28"/>
      <c r="B41" s="41" t="s">
        <v>436</v>
      </c>
      <c r="C41" s="41"/>
      <c r="D41" s="41"/>
      <c r="E41" s="41"/>
      <c r="F41" s="41"/>
      <c r="G41" s="41"/>
      <c r="H41" s="41"/>
      <c r="I41" s="41"/>
      <c r="J41" s="41"/>
      <c r="K41" s="41"/>
      <c r="L41" s="41"/>
      <c r="N41" s="28"/>
    </row>
    <row r="42" spans="1:14" x14ac:dyDescent="0.25">
      <c r="A42" s="28"/>
      <c r="B42" s="41"/>
      <c r="C42" s="41"/>
      <c r="D42" s="41"/>
      <c r="E42" s="41"/>
      <c r="F42" s="41"/>
      <c r="G42" s="41"/>
      <c r="H42" s="41"/>
      <c r="I42" s="41"/>
      <c r="J42" s="41"/>
      <c r="K42" s="41"/>
      <c r="L42" s="41"/>
      <c r="N42" s="28"/>
    </row>
    <row r="43" spans="1:14" x14ac:dyDescent="0.25">
      <c r="A43" s="28"/>
      <c r="B43" s="75" t="s">
        <v>36</v>
      </c>
      <c r="C43" s="28"/>
      <c r="D43" s="28"/>
      <c r="E43" s="28"/>
      <c r="F43" s="28"/>
      <c r="G43" s="28"/>
      <c r="H43" s="28"/>
      <c r="I43" s="109"/>
      <c r="J43" s="28"/>
      <c r="K43" s="28"/>
      <c r="M43" s="28"/>
      <c r="N43" s="28"/>
    </row>
    <row r="44" spans="1:14" x14ac:dyDescent="0.25">
      <c r="A44" s="28"/>
      <c r="B44" s="22" t="s">
        <v>392</v>
      </c>
      <c r="M44" s="28"/>
      <c r="N44" s="28"/>
    </row>
    <row r="45" spans="1:14" x14ac:dyDescent="0.25">
      <c r="B45" s="41"/>
      <c r="N45" s="28"/>
    </row>
    <row r="46" spans="1:14" x14ac:dyDescent="0.25">
      <c r="B46" s="22" t="s">
        <v>437</v>
      </c>
    </row>
    <row r="47" spans="1:14" x14ac:dyDescent="0.25">
      <c r="B47" s="41" t="s">
        <v>393</v>
      </c>
      <c r="L47" s="28"/>
    </row>
    <row r="48" spans="1:14" x14ac:dyDescent="0.25">
      <c r="N48" t="s">
        <v>34</v>
      </c>
    </row>
    <row r="49" spans="2:16" x14ac:dyDescent="0.25">
      <c r="B49" s="41" t="s">
        <v>438</v>
      </c>
      <c r="C49" s="90"/>
      <c r="D49" s="90"/>
      <c r="E49" s="90"/>
      <c r="F49" s="90"/>
      <c r="G49" s="90"/>
      <c r="H49" s="90"/>
      <c r="I49" s="90"/>
      <c r="J49" s="90"/>
      <c r="K49" s="90"/>
      <c r="L49" s="65"/>
      <c r="M49" s="90"/>
    </row>
    <row r="50" spans="2:16" x14ac:dyDescent="0.25">
      <c r="B50" s="22" t="s">
        <v>455</v>
      </c>
      <c r="C50" s="41"/>
      <c r="D50" s="41"/>
      <c r="E50" s="41"/>
      <c r="F50" s="41"/>
      <c r="G50" s="41"/>
      <c r="H50" s="41"/>
      <c r="I50" s="41"/>
      <c r="J50" s="41"/>
      <c r="K50" s="41"/>
      <c r="L50" s="41"/>
      <c r="M50" s="41"/>
    </row>
    <row r="51" spans="2:16" x14ac:dyDescent="0.25">
      <c r="B51" s="429" t="s">
        <v>456</v>
      </c>
      <c r="C51" s="429"/>
      <c r="D51" s="429"/>
      <c r="E51" s="429"/>
      <c r="F51" s="429"/>
      <c r="G51" s="429"/>
      <c r="H51" s="429"/>
      <c r="I51" s="429"/>
      <c r="J51" s="429"/>
      <c r="K51" s="429"/>
      <c r="L51" s="429"/>
      <c r="M51" s="429"/>
      <c r="N51" s="429"/>
      <c r="O51" s="429"/>
      <c r="P51" s="429"/>
    </row>
    <row r="52" spans="2:16" x14ac:dyDescent="0.25">
      <c r="B52" s="22" t="s">
        <v>423</v>
      </c>
      <c r="C52" s="28"/>
      <c r="D52" s="28"/>
      <c r="E52" s="28"/>
      <c r="F52" s="28"/>
      <c r="G52" s="28"/>
      <c r="H52" s="28"/>
      <c r="I52" s="109"/>
      <c r="J52" s="28"/>
      <c r="K52" s="90"/>
      <c r="L52" s="90"/>
      <c r="M52" s="90"/>
    </row>
    <row r="53" spans="2:16" x14ac:dyDescent="0.25">
      <c r="B53" s="22" t="s">
        <v>439</v>
      </c>
      <c r="C53" s="90"/>
      <c r="D53" s="90"/>
      <c r="E53" s="90"/>
      <c r="F53" s="90"/>
      <c r="G53" s="90"/>
      <c r="H53" s="90"/>
      <c r="I53" s="90"/>
      <c r="J53" s="90"/>
      <c r="K53" s="90"/>
      <c r="L53" s="90"/>
      <c r="M53" s="90"/>
    </row>
    <row r="54" spans="2:16" x14ac:dyDescent="0.25">
      <c r="B54" s="90"/>
      <c r="C54" s="90"/>
      <c r="D54" s="90"/>
      <c r="E54" s="90"/>
      <c r="F54" s="90"/>
      <c r="G54" s="90"/>
      <c r="H54" s="90"/>
      <c r="I54" s="90"/>
      <c r="J54" s="90"/>
      <c r="K54" s="90"/>
      <c r="L54" s="90"/>
      <c r="M54" s="90"/>
    </row>
    <row r="55" spans="2:16" x14ac:dyDescent="0.25">
      <c r="B55" s="41" t="s">
        <v>154</v>
      </c>
      <c r="C55" s="41"/>
      <c r="D55" s="41"/>
      <c r="E55" s="41"/>
      <c r="F55" s="41"/>
      <c r="G55" s="41"/>
      <c r="H55" s="41"/>
      <c r="I55" s="41"/>
      <c r="J55" s="41"/>
      <c r="K55" s="41"/>
      <c r="L55" s="90"/>
      <c r="M55" s="90"/>
    </row>
    <row r="56" spans="2:16" x14ac:dyDescent="0.25">
      <c r="B56" s="41" t="s">
        <v>155</v>
      </c>
      <c r="C56" s="41"/>
      <c r="D56" s="41"/>
      <c r="E56" s="41"/>
      <c r="F56" s="41"/>
      <c r="G56" s="41"/>
      <c r="H56" s="41"/>
      <c r="I56" s="41"/>
      <c r="J56" s="41"/>
      <c r="K56" s="41"/>
      <c r="L56" s="90"/>
      <c r="M56" s="90"/>
    </row>
    <row r="57" spans="2:16" x14ac:dyDescent="0.25">
      <c r="B57" s="22" t="s">
        <v>157</v>
      </c>
      <c r="C57" s="28"/>
      <c r="D57" s="28"/>
      <c r="E57" s="28"/>
      <c r="F57" s="28"/>
      <c r="G57" s="28"/>
      <c r="H57" s="109"/>
      <c r="I57" s="28"/>
      <c r="J57" s="41"/>
      <c r="K57" s="28"/>
      <c r="L57" s="90"/>
      <c r="M57" s="90"/>
    </row>
  </sheetData>
  <mergeCells count="1">
    <mergeCell ref="B51:P51"/>
  </mergeCells>
  <pageMargins left="0.7" right="0.7" top="0.75" bottom="0.75" header="0.3" footer="0.3"/>
  <pageSetup scale="68"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1"/>
    <pageSetUpPr fitToPage="1"/>
  </sheetPr>
  <dimension ref="A5:S46"/>
  <sheetViews>
    <sheetView zoomScale="90" zoomScaleNormal="90" workbookViewId="0"/>
  </sheetViews>
  <sheetFormatPr defaultRowHeight="15" x14ac:dyDescent="0.25"/>
  <cols>
    <col min="2" max="2" width="11.85546875" customWidth="1"/>
    <col min="6" max="6" width="10" customWidth="1"/>
    <col min="9" max="9" width="10.42578125" customWidth="1"/>
  </cols>
  <sheetData>
    <row r="5" spans="1:16" x14ac:dyDescent="0.25">
      <c r="A5" s="7" t="s">
        <v>12</v>
      </c>
      <c r="B5" s="28"/>
      <c r="C5" s="28"/>
      <c r="D5" s="28"/>
      <c r="E5" s="28"/>
      <c r="F5" s="28"/>
      <c r="G5" s="28"/>
      <c r="H5" s="28"/>
      <c r="I5" s="287"/>
      <c r="J5" s="28"/>
      <c r="K5" s="28"/>
      <c r="L5" s="38"/>
      <c r="M5" s="28"/>
      <c r="N5" s="28"/>
      <c r="O5" s="28"/>
      <c r="P5" s="28"/>
    </row>
    <row r="6" spans="1:16" x14ac:dyDescent="0.25">
      <c r="A6" s="30" t="s">
        <v>13</v>
      </c>
      <c r="B6" s="30">
        <v>40848</v>
      </c>
      <c r="C6" s="28"/>
      <c r="D6" s="28"/>
      <c r="E6" s="28"/>
      <c r="F6" s="28"/>
      <c r="G6" s="28"/>
      <c r="H6" s="28"/>
      <c r="I6" s="287"/>
      <c r="J6" s="28"/>
      <c r="K6" s="28"/>
      <c r="L6" s="38"/>
      <c r="M6" s="28"/>
      <c r="N6" s="28"/>
      <c r="O6" s="28"/>
      <c r="P6" s="28"/>
    </row>
    <row r="7" spans="1:16" x14ac:dyDescent="0.25">
      <c r="A7" s="28" t="s">
        <v>14</v>
      </c>
      <c r="B7" s="28">
        <v>1</v>
      </c>
      <c r="C7" s="28" t="s">
        <v>466</v>
      </c>
      <c r="D7" s="28"/>
      <c r="E7" s="28"/>
      <c r="F7" s="28"/>
      <c r="G7" s="28"/>
      <c r="H7" s="28"/>
      <c r="I7" s="287"/>
      <c r="J7" s="28"/>
      <c r="K7" s="28"/>
      <c r="L7" s="38"/>
      <c r="M7" s="28"/>
      <c r="N7" s="28"/>
      <c r="O7" s="28"/>
      <c r="P7" s="28"/>
    </row>
    <row r="8" spans="1:16" x14ac:dyDescent="0.25">
      <c r="A8" s="8" t="s">
        <v>15</v>
      </c>
      <c r="B8" s="8">
        <v>3</v>
      </c>
      <c r="C8" s="28" t="s">
        <v>465</v>
      </c>
      <c r="D8" s="8"/>
      <c r="E8" s="8"/>
      <c r="F8" s="8"/>
      <c r="G8" s="8"/>
      <c r="H8" s="8"/>
      <c r="I8" s="25"/>
      <c r="J8" s="8"/>
      <c r="K8" s="8"/>
      <c r="L8" s="8"/>
      <c r="M8" s="8"/>
      <c r="N8" s="8"/>
      <c r="O8" s="8"/>
      <c r="P8" s="8"/>
    </row>
    <row r="9" spans="1:16" x14ac:dyDescent="0.25">
      <c r="A9" s="28" t="s">
        <v>16</v>
      </c>
      <c r="B9" s="87">
        <v>2000</v>
      </c>
      <c r="C9" s="31" t="s">
        <v>896</v>
      </c>
      <c r="D9" s="28"/>
      <c r="E9" s="28"/>
      <c r="F9" s="28"/>
      <c r="G9" s="28"/>
      <c r="H9" s="28"/>
      <c r="I9" s="287"/>
      <c r="J9" s="28"/>
      <c r="K9" s="28" t="s">
        <v>34</v>
      </c>
      <c r="L9" s="38"/>
      <c r="M9" s="28"/>
      <c r="N9" s="28"/>
      <c r="O9" s="28"/>
      <c r="P9" s="28"/>
    </row>
    <row r="10" spans="1:16" x14ac:dyDescent="0.25">
      <c r="A10" s="28"/>
      <c r="B10" s="243">
        <v>200000000</v>
      </c>
      <c r="C10" s="31" t="s">
        <v>717</v>
      </c>
      <c r="D10" s="28"/>
      <c r="E10" s="28"/>
      <c r="F10" s="28"/>
      <c r="G10" s="28"/>
      <c r="H10" s="28"/>
      <c r="I10" s="287"/>
      <c r="J10" s="28"/>
      <c r="K10" s="28"/>
      <c r="L10" s="38"/>
      <c r="M10" s="28" t="s">
        <v>34</v>
      </c>
      <c r="N10" s="28"/>
      <c r="O10" s="28"/>
      <c r="P10" s="28"/>
    </row>
    <row r="11" spans="1:16" x14ac:dyDescent="0.25">
      <c r="A11" s="28"/>
      <c r="B11" s="87">
        <v>95</v>
      </c>
      <c r="C11" s="31" t="s">
        <v>723</v>
      </c>
      <c r="D11" s="28"/>
      <c r="E11" s="28"/>
      <c r="F11" s="28"/>
      <c r="G11" s="28"/>
      <c r="H11" s="28"/>
      <c r="I11" s="287"/>
      <c r="J11" s="28"/>
      <c r="K11" s="28"/>
      <c r="L11" s="38"/>
      <c r="M11" s="28"/>
      <c r="N11" s="28"/>
      <c r="O11" s="28"/>
      <c r="P11" s="28"/>
    </row>
    <row r="12" spans="1:16" x14ac:dyDescent="0.25">
      <c r="A12" s="28"/>
      <c r="B12" s="31">
        <v>6</v>
      </c>
      <c r="C12" s="28" t="s">
        <v>697</v>
      </c>
      <c r="D12" s="28"/>
      <c r="E12" s="28"/>
      <c r="F12" s="28"/>
      <c r="G12" s="28"/>
      <c r="H12" s="28"/>
      <c r="I12" s="287"/>
      <c r="J12" s="28"/>
      <c r="K12" s="28"/>
      <c r="L12" s="38"/>
      <c r="M12" s="28"/>
      <c r="N12" s="28"/>
      <c r="O12" s="28"/>
      <c r="P12" s="28"/>
    </row>
    <row r="13" spans="1:16" x14ac:dyDescent="0.25">
      <c r="A13" s="28"/>
      <c r="B13" s="31">
        <v>100</v>
      </c>
      <c r="C13" s="87" t="s">
        <v>696</v>
      </c>
      <c r="D13" s="28"/>
      <c r="E13" s="28"/>
      <c r="F13" s="28"/>
      <c r="G13" s="28"/>
      <c r="H13" s="28"/>
      <c r="I13" s="287"/>
      <c r="J13" s="28"/>
      <c r="K13" s="28"/>
      <c r="L13" s="38"/>
      <c r="M13" s="28"/>
      <c r="N13" s="28"/>
      <c r="O13" s="28"/>
      <c r="P13" s="28"/>
    </row>
    <row r="14" spans="1:16" x14ac:dyDescent="0.25">
      <c r="A14" s="28"/>
      <c r="B14" s="31">
        <v>0</v>
      </c>
      <c r="C14" s="87" t="s">
        <v>698</v>
      </c>
      <c r="D14" s="28"/>
      <c r="E14" s="28"/>
      <c r="F14" s="28"/>
      <c r="G14" s="28"/>
      <c r="H14" s="28"/>
      <c r="I14" s="287"/>
      <c r="J14" s="28"/>
      <c r="K14" s="28"/>
      <c r="L14" s="38"/>
      <c r="M14" s="28"/>
      <c r="N14" s="28"/>
      <c r="O14" s="28"/>
      <c r="P14" s="28"/>
    </row>
    <row r="15" spans="1:16" x14ac:dyDescent="0.25">
      <c r="A15" s="28"/>
      <c r="B15" s="232">
        <f>(B11*B12/100*1000)/(B9+B11-B13+B14)*1000</f>
        <v>2857.1428571428573</v>
      </c>
      <c r="C15" s="28" t="s">
        <v>700</v>
      </c>
      <c r="D15" s="28"/>
      <c r="E15" s="28"/>
      <c r="F15" s="28"/>
      <c r="G15" s="28"/>
      <c r="H15" s="28"/>
      <c r="I15" s="287"/>
      <c r="J15" s="28"/>
      <c r="K15" s="28"/>
      <c r="L15" s="38"/>
      <c r="M15" s="28"/>
      <c r="N15" s="28"/>
      <c r="O15" s="28"/>
      <c r="P15" s="28"/>
    </row>
    <row r="16" spans="1:16" ht="15.75" thickBot="1" x14ac:dyDescent="0.3">
      <c r="A16" s="28"/>
      <c r="B16" s="28"/>
      <c r="C16" s="28" t="s">
        <v>705</v>
      </c>
      <c r="D16" s="28"/>
      <c r="E16" s="28"/>
      <c r="F16" s="28"/>
      <c r="G16" s="28"/>
      <c r="H16" s="28"/>
      <c r="I16" s="287"/>
      <c r="J16" s="28"/>
      <c r="K16" s="28"/>
      <c r="L16" s="28"/>
      <c r="M16" s="28"/>
      <c r="N16" s="28"/>
      <c r="O16" s="28"/>
      <c r="P16" s="28"/>
    </row>
    <row r="17" spans="1:19" ht="90" thickBot="1" x14ac:dyDescent="0.3">
      <c r="A17" s="10" t="s">
        <v>29</v>
      </c>
      <c r="B17" s="11" t="s">
        <v>17</v>
      </c>
      <c r="C17" s="11" t="s">
        <v>30</v>
      </c>
      <c r="D17" s="11" t="s">
        <v>31</v>
      </c>
      <c r="E17" s="11" t="s">
        <v>32</v>
      </c>
      <c r="F17" s="11" t="s">
        <v>33</v>
      </c>
      <c r="G17" s="11" t="s">
        <v>18</v>
      </c>
      <c r="H17" s="11" t="s">
        <v>19</v>
      </c>
      <c r="I17" s="12" t="s">
        <v>20</v>
      </c>
      <c r="J17" s="11" t="s">
        <v>21</v>
      </c>
      <c r="K17" s="13" t="s">
        <v>22</v>
      </c>
      <c r="L17" s="11" t="s">
        <v>21</v>
      </c>
      <c r="M17" s="14" t="s">
        <v>23</v>
      </c>
      <c r="N17" s="14" t="s">
        <v>24</v>
      </c>
      <c r="O17" s="14" t="s">
        <v>25</v>
      </c>
      <c r="P17" s="14" t="s">
        <v>678</v>
      </c>
      <c r="Q17" s="14" t="s">
        <v>681</v>
      </c>
      <c r="R17" s="14" t="s">
        <v>897</v>
      </c>
      <c r="S17" s="14" t="s">
        <v>729</v>
      </c>
    </row>
    <row r="18" spans="1:19" ht="15.75" thickBot="1" x14ac:dyDescent="0.3">
      <c r="A18" s="32">
        <v>0</v>
      </c>
      <c r="B18" s="23">
        <v>22.6</v>
      </c>
      <c r="C18" s="23">
        <v>8.98</v>
      </c>
      <c r="D18" s="23" t="s">
        <v>35</v>
      </c>
      <c r="E18" s="23" t="s">
        <v>35</v>
      </c>
      <c r="F18" s="23">
        <v>1.8</v>
      </c>
      <c r="G18" s="23">
        <v>800</v>
      </c>
      <c r="H18" s="23">
        <v>10150</v>
      </c>
      <c r="I18" s="33">
        <v>1200000</v>
      </c>
      <c r="J18" s="23">
        <v>0</v>
      </c>
      <c r="K18" s="33">
        <v>12000000</v>
      </c>
      <c r="L18" s="23" t="s">
        <v>26</v>
      </c>
      <c r="M18" s="34"/>
      <c r="N18" s="34"/>
      <c r="O18" s="35"/>
      <c r="P18" s="233">
        <f>B$15*A18</f>
        <v>0</v>
      </c>
      <c r="Q18" s="233">
        <f>6/LINEST(J18:J19,P18:P19,FALSE)</f>
        <v>17733.990147783254</v>
      </c>
      <c r="R18" s="233">
        <f>Q18/3000</f>
        <v>5.9113300492610845</v>
      </c>
      <c r="S18" s="233">
        <f>(J25/LINEST($J18:$J19,$P18:$P19,FALSE))/$B$15</f>
        <v>6.3103448275862073</v>
      </c>
    </row>
    <row r="19" spans="1:19" ht="15.75" thickBot="1" x14ac:dyDescent="0.3">
      <c r="A19" s="32">
        <v>3</v>
      </c>
      <c r="B19" s="24">
        <v>22.48</v>
      </c>
      <c r="C19" s="24">
        <v>8.8800000000000008</v>
      </c>
      <c r="D19" s="24">
        <v>9.74</v>
      </c>
      <c r="E19" s="24">
        <v>3300</v>
      </c>
      <c r="F19" s="24">
        <v>0.8</v>
      </c>
      <c r="G19" s="24">
        <v>800</v>
      </c>
      <c r="H19" s="24" t="s">
        <v>35</v>
      </c>
      <c r="I19" s="33">
        <v>1600</v>
      </c>
      <c r="J19" s="24">
        <v>2.9</v>
      </c>
      <c r="K19" s="24">
        <v>0</v>
      </c>
      <c r="L19" s="24" t="s">
        <v>39</v>
      </c>
      <c r="M19" s="35"/>
      <c r="N19" s="35"/>
      <c r="O19" s="35"/>
      <c r="P19" s="233">
        <f>B$15*A19</f>
        <v>8571.4285714285725</v>
      </c>
    </row>
    <row r="20" spans="1:19" ht="15.75" thickBot="1" x14ac:dyDescent="0.3">
      <c r="A20" s="32">
        <v>5</v>
      </c>
      <c r="B20" s="24">
        <v>23</v>
      </c>
      <c r="C20" s="24">
        <v>8.92</v>
      </c>
      <c r="D20" s="24">
        <v>9.69</v>
      </c>
      <c r="E20" s="24">
        <v>3700</v>
      </c>
      <c r="F20" s="24">
        <v>1.4</v>
      </c>
      <c r="G20" s="24">
        <v>700</v>
      </c>
      <c r="H20" s="24">
        <v>9260</v>
      </c>
      <c r="I20" s="24">
        <v>0</v>
      </c>
      <c r="J20" s="24" t="s">
        <v>41</v>
      </c>
      <c r="K20" s="24">
        <v>0</v>
      </c>
      <c r="L20" s="24" t="s">
        <v>39</v>
      </c>
      <c r="M20" s="35"/>
      <c r="N20" s="35"/>
      <c r="O20" s="35"/>
      <c r="P20" s="233"/>
    </row>
    <row r="21" spans="1:19" ht="15.75" thickBot="1" x14ac:dyDescent="0.3">
      <c r="A21" s="32">
        <v>10</v>
      </c>
      <c r="B21" s="24">
        <v>23.5</v>
      </c>
      <c r="C21" s="24">
        <v>8.84</v>
      </c>
      <c r="D21" s="24">
        <v>9.73</v>
      </c>
      <c r="E21" s="24">
        <v>3600</v>
      </c>
      <c r="F21" s="24">
        <v>0.5</v>
      </c>
      <c r="G21" s="24">
        <v>700</v>
      </c>
      <c r="H21" s="24">
        <v>8660</v>
      </c>
      <c r="I21" s="24">
        <v>0</v>
      </c>
      <c r="J21" s="24" t="s">
        <v>41</v>
      </c>
      <c r="K21" s="24">
        <v>0</v>
      </c>
      <c r="L21" s="24" t="s">
        <v>39</v>
      </c>
      <c r="M21" s="35"/>
      <c r="N21" s="35"/>
      <c r="O21" s="35"/>
      <c r="P21" s="233"/>
    </row>
    <row r="22" spans="1:19" ht="15.75" thickBot="1" x14ac:dyDescent="0.3">
      <c r="A22" s="32">
        <v>15</v>
      </c>
      <c r="B22" s="24">
        <v>23.6</v>
      </c>
      <c r="C22" s="24">
        <v>8.93</v>
      </c>
      <c r="D22" s="24">
        <v>9.73</v>
      </c>
      <c r="E22" s="24">
        <v>4100</v>
      </c>
      <c r="F22" s="24">
        <v>3.9</v>
      </c>
      <c r="G22" s="24">
        <v>700</v>
      </c>
      <c r="H22" s="24">
        <v>9480</v>
      </c>
      <c r="I22" s="24">
        <v>0</v>
      </c>
      <c r="J22" s="24" t="s">
        <v>41</v>
      </c>
      <c r="K22" s="24">
        <v>0</v>
      </c>
      <c r="L22" s="24" t="s">
        <v>39</v>
      </c>
      <c r="M22" s="35"/>
      <c r="N22" s="35"/>
      <c r="O22" s="35"/>
      <c r="P22" s="233"/>
    </row>
    <row r="23" spans="1:19" ht="15.75" thickBot="1" x14ac:dyDescent="0.3">
      <c r="A23" s="32">
        <v>30</v>
      </c>
      <c r="B23" s="24">
        <v>23.8</v>
      </c>
      <c r="C23" s="24">
        <v>8.9</v>
      </c>
      <c r="D23" s="24">
        <v>9.7200000000000006</v>
      </c>
      <c r="E23" s="24">
        <v>3300</v>
      </c>
      <c r="F23" s="24">
        <v>1.7</v>
      </c>
      <c r="G23" s="24">
        <v>700</v>
      </c>
      <c r="H23" s="24">
        <v>10000</v>
      </c>
      <c r="I23" s="24">
        <v>0</v>
      </c>
      <c r="J23" s="24" t="s">
        <v>41</v>
      </c>
      <c r="K23" s="24">
        <v>0</v>
      </c>
      <c r="L23" s="24" t="s">
        <v>39</v>
      </c>
      <c r="M23" s="36">
        <v>502</v>
      </c>
      <c r="N23" s="36">
        <v>14066</v>
      </c>
      <c r="O23" s="36">
        <v>4944</v>
      </c>
      <c r="P23" s="233"/>
    </row>
    <row r="24" spans="1:19" ht="15.75" thickBot="1" x14ac:dyDescent="0.3">
      <c r="A24" s="32" t="s">
        <v>40</v>
      </c>
      <c r="B24" s="24">
        <v>23.8</v>
      </c>
      <c r="C24" s="24">
        <v>8.8800000000000008</v>
      </c>
      <c r="D24" s="24">
        <v>9.7100000000000009</v>
      </c>
      <c r="E24" s="58">
        <v>3600</v>
      </c>
      <c r="F24" s="24">
        <v>0.7</v>
      </c>
      <c r="G24" s="24">
        <v>700</v>
      </c>
      <c r="H24" s="24">
        <v>10570</v>
      </c>
      <c r="I24" s="24">
        <v>0</v>
      </c>
      <c r="J24" s="24" t="s">
        <v>41</v>
      </c>
      <c r="K24" s="24">
        <v>0</v>
      </c>
      <c r="L24" s="24" t="s">
        <v>39</v>
      </c>
      <c r="M24" s="36">
        <v>902</v>
      </c>
      <c r="N24" s="36">
        <v>11650</v>
      </c>
      <c r="O24" s="27"/>
      <c r="P24" s="28"/>
    </row>
    <row r="25" spans="1:19" x14ac:dyDescent="0.25">
      <c r="A25" s="28"/>
      <c r="B25" s="28">
        <f>AVERAGE(B19)</f>
        <v>22.48</v>
      </c>
      <c r="C25" s="28">
        <f>AVERAGE(C19)</f>
        <v>8.8800000000000008</v>
      </c>
      <c r="D25" s="28"/>
      <c r="E25" s="28"/>
      <c r="F25" s="28"/>
      <c r="G25" s="28"/>
      <c r="H25" s="28"/>
      <c r="I25" s="287"/>
      <c r="J25" s="28">
        <v>6.1</v>
      </c>
      <c r="K25" s="28"/>
      <c r="L25" s="28"/>
      <c r="M25" s="28"/>
      <c r="N25" s="28"/>
      <c r="O25" s="28"/>
      <c r="P25" s="28"/>
    </row>
    <row r="26" spans="1:19" x14ac:dyDescent="0.25">
      <c r="A26" s="28" t="s">
        <v>140</v>
      </c>
      <c r="B26" s="8"/>
      <c r="C26" s="8"/>
      <c r="D26" s="8"/>
      <c r="E26" s="8"/>
      <c r="F26" s="8"/>
      <c r="G26" s="8"/>
      <c r="H26" s="8"/>
      <c r="I26" s="25"/>
      <c r="J26" s="8"/>
      <c r="K26" s="8"/>
      <c r="L26" s="8"/>
      <c r="M26" s="8"/>
      <c r="N26" s="28"/>
      <c r="O26" s="8"/>
      <c r="P26" s="8"/>
    </row>
    <row r="27" spans="1:19" x14ac:dyDescent="0.25">
      <c r="A27" s="28"/>
      <c r="B27" s="28" t="s">
        <v>141</v>
      </c>
      <c r="C27" s="8"/>
      <c r="D27" s="8"/>
      <c r="E27" s="8"/>
      <c r="F27" s="8"/>
      <c r="G27" s="8"/>
      <c r="H27" s="8"/>
      <c r="I27" s="25"/>
      <c r="J27" s="8"/>
      <c r="K27" s="8"/>
      <c r="L27" s="8"/>
      <c r="M27" s="8"/>
      <c r="N27" s="28"/>
      <c r="O27" s="8"/>
      <c r="P27" s="8"/>
    </row>
    <row r="28" spans="1:19" x14ac:dyDescent="0.25">
      <c r="A28" s="28" t="s">
        <v>27</v>
      </c>
      <c r="B28" s="8"/>
      <c r="C28" s="8"/>
      <c r="D28" s="8"/>
      <c r="E28" s="8"/>
      <c r="F28" s="8"/>
      <c r="G28" s="8"/>
      <c r="H28" s="8"/>
      <c r="I28" s="25"/>
      <c r="J28" s="8"/>
      <c r="K28" s="8"/>
      <c r="L28" s="8"/>
      <c r="M28" s="8"/>
      <c r="N28" s="8"/>
      <c r="O28" s="8"/>
      <c r="P28" s="8"/>
    </row>
    <row r="29" spans="1:19" x14ac:dyDescent="0.25">
      <c r="A29" s="41" t="s">
        <v>127</v>
      </c>
      <c r="H29" s="8"/>
      <c r="I29" s="25"/>
      <c r="J29" s="8"/>
      <c r="K29" s="8"/>
      <c r="L29" s="8"/>
      <c r="M29" s="8"/>
      <c r="N29" s="8"/>
      <c r="O29" s="8"/>
      <c r="P29" s="8"/>
    </row>
    <row r="30" spans="1:19" x14ac:dyDescent="0.25">
      <c r="A30" s="28" t="s">
        <v>151</v>
      </c>
      <c r="B30" s="8"/>
      <c r="C30" s="8"/>
      <c r="D30" s="8"/>
      <c r="E30" s="8"/>
      <c r="F30" s="8"/>
      <c r="G30" s="8"/>
      <c r="H30" s="8"/>
      <c r="I30" s="25"/>
      <c r="J30" s="8"/>
      <c r="K30" s="8"/>
      <c r="L30" s="8"/>
      <c r="M30" s="8"/>
      <c r="N30" s="28"/>
      <c r="O30" s="8"/>
      <c r="P30" s="8"/>
    </row>
    <row r="31" spans="1:19" x14ac:dyDescent="0.25">
      <c r="A31" s="19" t="s">
        <v>28</v>
      </c>
      <c r="B31" s="8"/>
      <c r="C31" s="8"/>
      <c r="D31" s="8"/>
      <c r="E31" s="8"/>
      <c r="F31" s="8"/>
      <c r="G31" s="8"/>
      <c r="H31" s="8"/>
      <c r="I31" s="25"/>
      <c r="J31" s="8"/>
      <c r="K31" s="8"/>
      <c r="L31" s="8"/>
      <c r="M31" s="8"/>
      <c r="N31" s="8"/>
      <c r="O31" s="8"/>
      <c r="P31" s="8"/>
    </row>
    <row r="32" spans="1:19" x14ac:dyDescent="0.25">
      <c r="A32" s="8"/>
      <c r="B32" s="22"/>
      <c r="C32" s="8"/>
      <c r="D32" s="8"/>
      <c r="E32" s="8"/>
      <c r="F32" s="8"/>
      <c r="G32" s="8"/>
      <c r="H32" s="8"/>
      <c r="I32" s="25"/>
      <c r="J32" s="8"/>
      <c r="K32" s="8"/>
      <c r="L32" s="8"/>
      <c r="M32" s="28" t="s">
        <v>34</v>
      </c>
      <c r="N32" s="8"/>
      <c r="O32" s="28" t="s">
        <v>34</v>
      </c>
      <c r="P32" s="8"/>
    </row>
    <row r="33" spans="1:16" x14ac:dyDescent="0.25">
      <c r="A33" s="8"/>
      <c r="B33" s="22" t="s">
        <v>128</v>
      </c>
      <c r="C33" s="8"/>
      <c r="D33" s="8"/>
      <c r="E33" s="8"/>
      <c r="F33" s="8"/>
      <c r="G33" s="8"/>
      <c r="H33" s="8"/>
      <c r="I33" s="25"/>
      <c r="J33" s="8"/>
      <c r="K33" s="8"/>
      <c r="L33" s="8"/>
      <c r="M33" s="8"/>
      <c r="N33" s="8"/>
      <c r="O33" s="8"/>
      <c r="P33" s="8"/>
    </row>
    <row r="34" spans="1:16" x14ac:dyDescent="0.25">
      <c r="A34" s="8"/>
      <c r="B34" s="41" t="s">
        <v>129</v>
      </c>
      <c r="C34" s="41"/>
      <c r="D34" s="41"/>
      <c r="E34" s="41"/>
      <c r="F34" s="41"/>
      <c r="L34" s="8"/>
      <c r="M34" s="8"/>
      <c r="N34" s="8"/>
      <c r="O34" s="8"/>
      <c r="P34" s="8"/>
    </row>
    <row r="35" spans="1:16" x14ac:dyDescent="0.25">
      <c r="A35" s="8"/>
      <c r="B35" s="22" t="s">
        <v>152</v>
      </c>
      <c r="C35" s="8"/>
      <c r="D35" s="8"/>
      <c r="E35" s="8"/>
      <c r="F35" s="8"/>
      <c r="G35" s="8"/>
      <c r="H35" s="8"/>
      <c r="I35" s="25"/>
      <c r="J35" s="8"/>
      <c r="K35" s="8"/>
      <c r="L35" s="8"/>
      <c r="M35" s="8"/>
      <c r="N35" s="8"/>
      <c r="O35" s="8"/>
      <c r="P35" s="8"/>
    </row>
    <row r="36" spans="1:16" x14ac:dyDescent="0.25">
      <c r="A36" s="8"/>
      <c r="B36" s="22" t="s">
        <v>153</v>
      </c>
      <c r="C36" s="8"/>
      <c r="D36" s="8"/>
      <c r="E36" s="8"/>
      <c r="F36" s="8"/>
      <c r="G36" s="8"/>
      <c r="H36" s="8"/>
      <c r="I36" s="25"/>
      <c r="J36" s="8"/>
      <c r="K36" s="8"/>
      <c r="L36" s="8"/>
      <c r="M36" s="8"/>
      <c r="N36" s="8"/>
      <c r="O36" s="8"/>
      <c r="P36" s="8"/>
    </row>
    <row r="37" spans="1:16" x14ac:dyDescent="0.25">
      <c r="A37" s="8"/>
      <c r="B37" s="20" t="s">
        <v>36</v>
      </c>
      <c r="C37" s="8"/>
      <c r="D37" s="8"/>
      <c r="E37" s="8"/>
      <c r="F37" s="8"/>
      <c r="G37" s="8"/>
      <c r="H37" s="8"/>
      <c r="I37" s="25"/>
      <c r="J37" s="8"/>
      <c r="K37" s="8"/>
      <c r="L37" s="8"/>
      <c r="M37" s="8"/>
      <c r="N37" s="8"/>
      <c r="O37" s="8"/>
      <c r="P37" s="8"/>
    </row>
    <row r="38" spans="1:16" x14ac:dyDescent="0.25">
      <c r="A38" s="8"/>
      <c r="B38" s="22" t="s">
        <v>130</v>
      </c>
      <c r="L38" s="8"/>
      <c r="M38" s="8"/>
      <c r="N38" s="8" t="s">
        <v>34</v>
      </c>
      <c r="O38" s="8"/>
      <c r="P38" s="8"/>
    </row>
    <row r="39" spans="1:16" x14ac:dyDescent="0.25">
      <c r="A39" s="8"/>
      <c r="L39" s="8"/>
      <c r="M39" s="8"/>
      <c r="N39" s="8"/>
      <c r="O39" s="8"/>
      <c r="P39" s="8"/>
    </row>
    <row r="40" spans="1:16" x14ac:dyDescent="0.25">
      <c r="A40" s="8"/>
      <c r="B40" s="22" t="s">
        <v>45</v>
      </c>
      <c r="C40" s="21"/>
      <c r="D40" s="21"/>
      <c r="E40" s="8"/>
      <c r="F40" s="8"/>
      <c r="G40" s="8"/>
      <c r="H40" s="8"/>
      <c r="I40" s="25"/>
      <c r="J40" s="8"/>
      <c r="K40" s="8"/>
      <c r="M40" s="8"/>
      <c r="N40" s="8"/>
      <c r="O40" s="8"/>
      <c r="P40" s="8"/>
    </row>
    <row r="41" spans="1:16" x14ac:dyDescent="0.25">
      <c r="A41" s="8"/>
      <c r="B41" s="37" t="s">
        <v>131</v>
      </c>
      <c r="C41" s="21"/>
      <c r="D41" s="8"/>
      <c r="E41" s="8"/>
      <c r="F41" s="8"/>
      <c r="G41" s="8"/>
      <c r="H41" s="25"/>
      <c r="I41" s="8"/>
      <c r="J41" s="8"/>
      <c r="K41" s="8"/>
      <c r="M41" s="8" t="s">
        <v>34</v>
      </c>
      <c r="N41" s="8"/>
      <c r="O41" s="8"/>
      <c r="P41" s="8"/>
    </row>
    <row r="42" spans="1:16" x14ac:dyDescent="0.25">
      <c r="B42" s="22" t="s">
        <v>46</v>
      </c>
      <c r="C42" s="8"/>
      <c r="D42" s="8"/>
      <c r="E42" s="8"/>
      <c r="F42" s="8"/>
      <c r="G42" s="8"/>
      <c r="H42" s="8"/>
      <c r="I42" s="25"/>
      <c r="J42" s="8"/>
      <c r="K42" s="8"/>
      <c r="L42" s="8"/>
      <c r="M42" s="8"/>
      <c r="N42" s="8"/>
      <c r="O42" s="8"/>
      <c r="P42" s="8"/>
    </row>
    <row r="43" spans="1:16" x14ac:dyDescent="0.25">
      <c r="A43" s="8"/>
      <c r="L43" s="8"/>
      <c r="M43" s="8"/>
      <c r="N43" s="8"/>
      <c r="O43" s="8"/>
      <c r="P43" s="8"/>
    </row>
    <row r="44" spans="1:16" x14ac:dyDescent="0.25">
      <c r="A44" s="8"/>
      <c r="B44" s="41" t="s">
        <v>154</v>
      </c>
      <c r="C44" s="41"/>
      <c r="D44" s="41"/>
      <c r="E44" s="41"/>
      <c r="F44" s="41"/>
      <c r="G44" s="41"/>
      <c r="H44" s="41"/>
      <c r="I44" s="41"/>
      <c r="J44" s="41"/>
      <c r="K44" s="41"/>
      <c r="L44" s="41"/>
      <c r="M44" s="8"/>
      <c r="N44" s="8"/>
      <c r="O44" s="8"/>
      <c r="P44" s="8"/>
    </row>
    <row r="45" spans="1:16" x14ac:dyDescent="0.25">
      <c r="B45" s="41" t="s">
        <v>155</v>
      </c>
      <c r="C45" s="41"/>
      <c r="D45" s="41"/>
      <c r="E45" s="41"/>
      <c r="F45" s="41"/>
      <c r="G45" s="41"/>
      <c r="H45" s="41"/>
      <c r="I45" s="41"/>
      <c r="J45" s="41"/>
      <c r="K45" s="41"/>
      <c r="L45" s="41"/>
    </row>
    <row r="46" spans="1:16" x14ac:dyDescent="0.25">
      <c r="B46" s="22" t="s">
        <v>157</v>
      </c>
      <c r="C46" s="28"/>
      <c r="D46" s="28"/>
      <c r="E46" s="28"/>
      <c r="F46" s="28"/>
      <c r="G46" s="28"/>
      <c r="H46" s="29"/>
      <c r="I46" s="28"/>
      <c r="J46" s="41"/>
      <c r="K46" s="28"/>
      <c r="L46" s="41"/>
    </row>
  </sheetData>
  <phoneticPr fontId="0" type="noConversion"/>
  <pageMargins left="0.7" right="0.7" top="0.75" bottom="0.75" header="0.3" footer="0.3"/>
  <pageSetup scale="68" orientation="landscape" verticalDpi="597" r:id="rId1"/>
  <drawing r:id="rId2"/>
  <legacyDrawing r:id="rId3"/>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8">
    <pageSetUpPr fitToPage="1"/>
  </sheetPr>
  <dimension ref="A6:S60"/>
  <sheetViews>
    <sheetView zoomScale="90" zoomScaleNormal="90" workbookViewId="0"/>
  </sheetViews>
  <sheetFormatPr defaultRowHeight="15" x14ac:dyDescent="0.25"/>
  <cols>
    <col min="1" max="1" width="7.140625" customWidth="1"/>
    <col min="2" max="2" width="9.5703125" customWidth="1"/>
    <col min="3" max="3" width="6.42578125" customWidth="1"/>
    <col min="4" max="4" width="8.85546875" customWidth="1"/>
    <col min="5" max="5" width="8.140625" customWidth="1"/>
    <col min="6" max="6" width="8.85546875" customWidth="1"/>
    <col min="7" max="7" width="9.140625" customWidth="1"/>
    <col min="8" max="8" width="8" customWidth="1"/>
    <col min="10" max="10" width="7.7109375" customWidth="1"/>
    <col min="12" max="12" width="7.5703125" customWidth="1"/>
    <col min="13" max="13" width="6.7109375" customWidth="1"/>
    <col min="14" max="14" width="8.42578125" customWidth="1"/>
  </cols>
  <sheetData>
    <row r="6" spans="1:15" x14ac:dyDescent="0.25">
      <c r="A6" s="7" t="s">
        <v>12</v>
      </c>
      <c r="B6" s="28"/>
      <c r="C6" s="28"/>
      <c r="D6" s="28"/>
      <c r="E6" s="28"/>
      <c r="F6" s="28"/>
      <c r="G6" s="28"/>
      <c r="H6" s="28"/>
      <c r="I6" s="29"/>
      <c r="J6" s="28"/>
      <c r="K6" s="28"/>
      <c r="L6" s="28"/>
      <c r="M6" s="28"/>
      <c r="N6" s="28"/>
      <c r="O6" s="28"/>
    </row>
    <row r="7" spans="1:15" x14ac:dyDescent="0.25">
      <c r="A7" s="30" t="s">
        <v>13</v>
      </c>
      <c r="B7" s="30">
        <v>41079</v>
      </c>
    </row>
    <row r="8" spans="1:15" x14ac:dyDescent="0.25">
      <c r="A8" s="28" t="s">
        <v>14</v>
      </c>
      <c r="B8" s="28">
        <v>34</v>
      </c>
      <c r="C8" s="28" t="s">
        <v>404</v>
      </c>
      <c r="D8" s="28"/>
      <c r="E8" s="28"/>
      <c r="F8" s="28"/>
      <c r="G8" s="28"/>
      <c r="H8" s="28"/>
      <c r="I8" s="29"/>
      <c r="J8" s="28"/>
      <c r="K8" s="28" t="s">
        <v>34</v>
      </c>
      <c r="L8" s="28" t="s">
        <v>34</v>
      </c>
      <c r="M8" s="28"/>
      <c r="N8" s="28"/>
    </row>
    <row r="9" spans="1:15" x14ac:dyDescent="0.25">
      <c r="A9" s="28" t="s">
        <v>15</v>
      </c>
      <c r="B9" s="28" t="s">
        <v>395</v>
      </c>
      <c r="C9" s="28" t="s">
        <v>298</v>
      </c>
      <c r="D9" s="28"/>
      <c r="E9" s="28"/>
      <c r="F9" s="28"/>
      <c r="G9" s="28"/>
      <c r="H9" s="28"/>
      <c r="I9" s="29"/>
      <c r="J9" s="28"/>
      <c r="K9" s="28"/>
      <c r="L9" s="28"/>
      <c r="M9" s="28"/>
      <c r="N9" s="28"/>
    </row>
    <row r="10" spans="1:15" x14ac:dyDescent="0.25">
      <c r="A10" s="28" t="s">
        <v>16</v>
      </c>
      <c r="B10">
        <v>2000</v>
      </c>
      <c r="C10" s="31" t="s">
        <v>195</v>
      </c>
      <c r="D10" s="28"/>
      <c r="E10" s="28"/>
      <c r="F10" s="28"/>
      <c r="G10" s="28"/>
      <c r="H10" s="28"/>
      <c r="I10" s="29" t="s">
        <v>34</v>
      </c>
      <c r="J10" s="28" t="s">
        <v>34</v>
      </c>
      <c r="K10" s="28" t="s">
        <v>34</v>
      </c>
      <c r="L10" s="28" t="s">
        <v>34</v>
      </c>
      <c r="M10" s="28" t="s">
        <v>34</v>
      </c>
      <c r="N10" s="28" t="s">
        <v>34</v>
      </c>
    </row>
    <row r="11" spans="1:15" x14ac:dyDescent="0.25">
      <c r="A11" s="28"/>
      <c r="B11" s="243">
        <v>200000000</v>
      </c>
      <c r="C11" s="31" t="s">
        <v>58</v>
      </c>
      <c r="D11" s="28"/>
      <c r="E11" s="28"/>
      <c r="F11" s="28"/>
      <c r="G11" s="28"/>
      <c r="H11" s="28"/>
      <c r="I11" s="29"/>
      <c r="J11" s="28"/>
      <c r="K11" s="28" t="s">
        <v>34</v>
      </c>
      <c r="L11" s="28"/>
      <c r="M11" s="28"/>
      <c r="N11" s="28"/>
    </row>
    <row r="12" spans="1:15" x14ac:dyDescent="0.25">
      <c r="A12" s="28"/>
      <c r="B12">
        <v>95</v>
      </c>
      <c r="C12" s="31" t="s">
        <v>44</v>
      </c>
      <c r="D12" s="28"/>
      <c r="E12" s="28"/>
      <c r="F12" s="28"/>
      <c r="G12" s="28"/>
      <c r="H12" s="28"/>
      <c r="I12" s="29"/>
      <c r="J12" s="28"/>
      <c r="K12" s="28"/>
      <c r="L12" s="28"/>
      <c r="M12" s="28"/>
      <c r="N12" s="28"/>
    </row>
    <row r="13" spans="1:15" x14ac:dyDescent="0.25">
      <c r="A13" s="28"/>
      <c r="B13" s="244">
        <v>6</v>
      </c>
      <c r="C13" s="28" t="s">
        <v>697</v>
      </c>
      <c r="D13" s="28"/>
      <c r="E13" s="28"/>
      <c r="F13" s="28"/>
      <c r="G13" s="28"/>
      <c r="H13" s="28"/>
      <c r="I13" s="285"/>
      <c r="J13" s="28"/>
      <c r="K13" s="28"/>
      <c r="L13" s="28"/>
      <c r="M13" s="28"/>
      <c r="N13" s="28"/>
    </row>
    <row r="14" spans="1:15" x14ac:dyDescent="0.25">
      <c r="A14" s="28"/>
      <c r="B14" s="244">
        <v>100</v>
      </c>
      <c r="C14" s="87" t="s">
        <v>696</v>
      </c>
      <c r="D14" s="28"/>
      <c r="E14" s="28"/>
      <c r="F14" s="28"/>
      <c r="G14" s="28"/>
      <c r="H14" s="28"/>
      <c r="I14" s="285"/>
      <c r="J14" s="28"/>
      <c r="K14" s="28"/>
      <c r="L14" s="28"/>
      <c r="M14" s="28"/>
      <c r="N14" s="28"/>
    </row>
    <row r="15" spans="1:15" x14ac:dyDescent="0.25">
      <c r="A15" s="28"/>
      <c r="B15" s="244">
        <v>0</v>
      </c>
      <c r="C15" s="87" t="s">
        <v>698</v>
      </c>
      <c r="D15" s="28"/>
      <c r="E15" s="28"/>
      <c r="F15" s="28"/>
      <c r="G15" s="28"/>
      <c r="H15" s="28"/>
      <c r="I15" s="285"/>
      <c r="J15" s="28"/>
      <c r="K15" s="28"/>
      <c r="L15" s="28"/>
      <c r="M15" s="28"/>
      <c r="N15" s="28"/>
    </row>
    <row r="16" spans="1:15" x14ac:dyDescent="0.25">
      <c r="A16" s="28"/>
      <c r="B16" s="245">
        <f>(B12*B13/100*1000)/(B10+B12-B14+B15)*1000</f>
        <v>2857.1428571428573</v>
      </c>
      <c r="C16" s="28" t="s">
        <v>700</v>
      </c>
      <c r="D16" s="28"/>
      <c r="E16" s="28"/>
      <c r="F16" s="28"/>
      <c r="G16" s="28"/>
      <c r="H16" s="28"/>
      <c r="I16" s="285"/>
      <c r="J16" s="28"/>
      <c r="K16" s="28"/>
      <c r="L16" s="28"/>
      <c r="M16" s="28"/>
      <c r="N16" s="28"/>
    </row>
    <row r="17" spans="1:19" ht="15.75" thickBot="1" x14ac:dyDescent="0.3">
      <c r="A17" s="28"/>
      <c r="C17" s="87" t="s">
        <v>711</v>
      </c>
      <c r="D17" s="28"/>
      <c r="E17" s="28"/>
      <c r="F17" s="28"/>
      <c r="G17" s="28"/>
      <c r="H17" s="28"/>
      <c r="I17" s="29"/>
      <c r="J17" s="28"/>
      <c r="K17" s="28"/>
      <c r="L17" s="28"/>
      <c r="M17" s="28"/>
      <c r="N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91">
        <v>19.5</v>
      </c>
      <c r="C19" s="91">
        <v>9.23</v>
      </c>
      <c r="D19" s="91">
        <v>9.06</v>
      </c>
      <c r="E19" s="91">
        <v>0.97</v>
      </c>
      <c r="F19" s="91">
        <v>1.65</v>
      </c>
      <c r="G19" s="91">
        <v>542</v>
      </c>
      <c r="H19" s="91">
        <v>3890</v>
      </c>
      <c r="I19" s="98">
        <v>13000000</v>
      </c>
      <c r="J19" s="125">
        <f>LOG(I$19)-LOG(I19)</f>
        <v>0</v>
      </c>
      <c r="K19" s="98">
        <v>27000000</v>
      </c>
      <c r="L19" s="91" t="s">
        <v>26</v>
      </c>
      <c r="M19" s="34"/>
      <c r="N19" s="34"/>
      <c r="O19" s="99"/>
      <c r="P19" s="233">
        <f>B$16*A19</f>
        <v>0</v>
      </c>
      <c r="Q19" s="233">
        <f>6/LINEST($J19:$J21,$P19:$P21,FALSE)</f>
        <v>19202.549144961471</v>
      </c>
      <c r="R19" s="249">
        <f>Q19/3000</f>
        <v>6.4008497149871566</v>
      </c>
      <c r="S19" s="249">
        <f>(J27/LINEST($J19:$J21,$P19:$P21,FALSE))/$B$16</f>
        <v>7.9642572578727684</v>
      </c>
    </row>
    <row r="20" spans="1:19" ht="15.75" thickBot="1" x14ac:dyDescent="0.3">
      <c r="A20" s="32">
        <v>3</v>
      </c>
      <c r="B20" s="58">
        <v>19.899999999999999</v>
      </c>
      <c r="C20" s="58">
        <v>9.2100000000000009</v>
      </c>
      <c r="D20" s="58">
        <v>9.9</v>
      </c>
      <c r="E20" s="58">
        <v>2500</v>
      </c>
      <c r="F20" s="58">
        <v>0.23</v>
      </c>
      <c r="G20" s="58">
        <v>523</v>
      </c>
      <c r="H20" s="58">
        <v>3480</v>
      </c>
      <c r="I20" s="98">
        <v>53000</v>
      </c>
      <c r="J20" s="125">
        <f>LOG(I$19)-LOG(I20)</f>
        <v>2.3896674827060478</v>
      </c>
      <c r="K20" s="98">
        <v>400000</v>
      </c>
      <c r="L20" s="58">
        <v>1.83</v>
      </c>
      <c r="M20" s="99"/>
      <c r="N20" s="99"/>
      <c r="O20" s="99"/>
      <c r="P20" s="233">
        <f>B$16*A20</f>
        <v>8571.4285714285725</v>
      </c>
      <c r="Q20" s="225"/>
    </row>
    <row r="21" spans="1:19" ht="15.75" thickBot="1" x14ac:dyDescent="0.3">
      <c r="A21" s="32">
        <v>5</v>
      </c>
      <c r="B21" s="58">
        <v>20</v>
      </c>
      <c r="C21" s="58">
        <v>9.2100000000000009</v>
      </c>
      <c r="D21" s="58">
        <v>9.9</v>
      </c>
      <c r="E21" s="58">
        <v>2600</v>
      </c>
      <c r="F21" s="58">
        <v>0.26</v>
      </c>
      <c r="G21" s="58">
        <v>500</v>
      </c>
      <c r="H21" s="58"/>
      <c r="I21" s="98">
        <v>300</v>
      </c>
      <c r="J21" s="125">
        <f>LOG(I$19)-LOG(I21)</f>
        <v>4.6368220975871743</v>
      </c>
      <c r="K21" s="98">
        <v>0</v>
      </c>
      <c r="L21" s="58" t="s">
        <v>396</v>
      </c>
      <c r="M21" s="99"/>
      <c r="N21" s="99"/>
      <c r="O21" s="99"/>
      <c r="P21" s="233">
        <f>B$16*A21</f>
        <v>14285.714285714286</v>
      </c>
    </row>
    <row r="22" spans="1:19" ht="15.75" thickBot="1" x14ac:dyDescent="0.3">
      <c r="A22" s="32">
        <v>10</v>
      </c>
      <c r="B22" s="58">
        <v>20.6</v>
      </c>
      <c r="C22" s="58">
        <v>9.1999999999999993</v>
      </c>
      <c r="D22" s="58">
        <v>9.91</v>
      </c>
      <c r="E22" s="58">
        <v>2300</v>
      </c>
      <c r="F22" s="58">
        <v>0.48</v>
      </c>
      <c r="G22" s="58">
        <v>485</v>
      </c>
      <c r="H22" s="58"/>
      <c r="I22" s="98">
        <v>0</v>
      </c>
      <c r="J22" s="58" t="s">
        <v>166</v>
      </c>
      <c r="K22" s="98">
        <v>0</v>
      </c>
      <c r="L22" s="58" t="s">
        <v>396</v>
      </c>
      <c r="M22" s="99"/>
      <c r="N22" s="99"/>
      <c r="O22" s="99"/>
      <c r="P22" s="233">
        <f>B$16*A22</f>
        <v>28571.428571428572</v>
      </c>
    </row>
    <row r="23" spans="1:19" ht="15.75" thickBot="1" x14ac:dyDescent="0.3">
      <c r="A23" s="32">
        <v>15</v>
      </c>
      <c r="B23" s="58">
        <v>20.7</v>
      </c>
      <c r="C23" s="58">
        <v>9.19</v>
      </c>
      <c r="D23" s="58">
        <v>9.93</v>
      </c>
      <c r="E23" s="58">
        <v>2400</v>
      </c>
      <c r="F23" s="58">
        <v>0.25</v>
      </c>
      <c r="G23" s="58">
        <v>479</v>
      </c>
      <c r="H23" s="58"/>
      <c r="I23" s="98">
        <v>0</v>
      </c>
      <c r="J23" s="58" t="s">
        <v>166</v>
      </c>
      <c r="K23" s="98">
        <v>0</v>
      </c>
      <c r="L23" s="58" t="s">
        <v>396</v>
      </c>
      <c r="M23" s="99"/>
      <c r="N23" s="99"/>
      <c r="O23" s="99"/>
      <c r="P23" s="233"/>
    </row>
    <row r="24" spans="1:19" ht="15.75" thickBot="1" x14ac:dyDescent="0.3">
      <c r="A24" s="32">
        <v>30</v>
      </c>
      <c r="B24" s="58">
        <v>19.899999999999999</v>
      </c>
      <c r="C24" s="58">
        <v>9.18</v>
      </c>
      <c r="D24" s="58">
        <v>9.9600000000000009</v>
      </c>
      <c r="E24" s="58">
        <v>2200</v>
      </c>
      <c r="F24" s="58">
        <v>0.33</v>
      </c>
      <c r="G24" s="58">
        <v>472</v>
      </c>
      <c r="H24" s="58"/>
      <c r="I24" s="98">
        <v>0</v>
      </c>
      <c r="J24" s="58" t="s">
        <v>166</v>
      </c>
      <c r="K24" s="98">
        <v>0</v>
      </c>
      <c r="L24" s="58" t="s">
        <v>396</v>
      </c>
      <c r="M24" s="60"/>
      <c r="N24" s="60"/>
      <c r="O24" s="99"/>
      <c r="P24" s="233"/>
    </row>
    <row r="25" spans="1:19" ht="15.75" thickBot="1" x14ac:dyDescent="0.3">
      <c r="A25" s="32">
        <v>60</v>
      </c>
      <c r="B25" s="58">
        <v>19.2</v>
      </c>
      <c r="C25" s="58">
        <v>9.19</v>
      </c>
      <c r="D25" s="58">
        <v>9.98</v>
      </c>
      <c r="E25" s="58">
        <v>2300</v>
      </c>
      <c r="F25" s="58">
        <v>0.28999999999999998</v>
      </c>
      <c r="G25" s="58">
        <v>468</v>
      </c>
      <c r="H25" s="58">
        <v>3490</v>
      </c>
      <c r="I25" s="98">
        <v>0</v>
      </c>
      <c r="J25" s="58" t="s">
        <v>166</v>
      </c>
      <c r="K25" s="98">
        <v>0</v>
      </c>
      <c r="L25" s="58" t="s">
        <v>396</v>
      </c>
      <c r="M25" s="60">
        <v>222</v>
      </c>
      <c r="N25" s="60">
        <v>14452</v>
      </c>
      <c r="O25" s="89">
        <v>5640</v>
      </c>
      <c r="P25" s="233"/>
    </row>
    <row r="26" spans="1:19" ht="15.75" thickBot="1" x14ac:dyDescent="0.3">
      <c r="A26" s="86" t="s">
        <v>242</v>
      </c>
      <c r="B26" s="60">
        <v>19.100000000000001</v>
      </c>
      <c r="C26" s="60">
        <v>9.2200000000000006</v>
      </c>
      <c r="D26" s="60" t="s">
        <v>397</v>
      </c>
      <c r="E26" s="60">
        <v>2400</v>
      </c>
      <c r="F26" s="60">
        <v>0.81</v>
      </c>
      <c r="G26" s="60">
        <v>468</v>
      </c>
      <c r="H26" s="60">
        <v>3440</v>
      </c>
      <c r="I26" s="98">
        <v>0</v>
      </c>
      <c r="J26" s="58" t="s">
        <v>166</v>
      </c>
      <c r="K26" s="98">
        <v>0</v>
      </c>
      <c r="L26" s="58" t="s">
        <v>396</v>
      </c>
      <c r="M26" s="60">
        <v>182</v>
      </c>
      <c r="N26" s="60">
        <v>14492</v>
      </c>
      <c r="O26" s="99"/>
    </row>
    <row r="27" spans="1:19" x14ac:dyDescent="0.25">
      <c r="A27" s="28"/>
      <c r="B27" s="92">
        <f>AVERAGE(B20:B21)</f>
        <v>19.95</v>
      </c>
      <c r="C27" s="92">
        <f>AVERAGE(C20:C21)</f>
        <v>9.2100000000000009</v>
      </c>
      <c r="D27" s="92"/>
      <c r="E27" s="92"/>
      <c r="F27" s="92"/>
      <c r="G27" s="92"/>
      <c r="H27" s="92"/>
      <c r="I27" s="106"/>
      <c r="J27" s="92">
        <v>7.11</v>
      </c>
      <c r="K27" s="106"/>
      <c r="L27" s="92"/>
      <c r="M27" s="92"/>
      <c r="N27" s="92"/>
      <c r="O27" s="92"/>
    </row>
    <row r="28" spans="1:19" x14ac:dyDescent="0.25">
      <c r="A28" s="28" t="s">
        <v>140</v>
      </c>
      <c r="B28" s="28"/>
      <c r="C28" s="28"/>
      <c r="D28" s="28"/>
      <c r="E28" s="28"/>
      <c r="F28" s="28"/>
      <c r="G28" s="28"/>
      <c r="H28" s="28"/>
      <c r="I28" s="29"/>
      <c r="J28" s="28"/>
      <c r="K28" s="28"/>
      <c r="L28" s="28"/>
      <c r="M28" s="28"/>
      <c r="N28" s="28"/>
    </row>
    <row r="29" spans="1:19" x14ac:dyDescent="0.25">
      <c r="A29" s="28"/>
      <c r="B29" s="28" t="s">
        <v>141</v>
      </c>
      <c r="C29" s="28"/>
      <c r="D29" s="28"/>
      <c r="E29" s="28"/>
      <c r="F29" s="28"/>
      <c r="G29" s="28"/>
      <c r="H29" s="28"/>
      <c r="I29" s="430" t="s">
        <v>398</v>
      </c>
      <c r="J29" s="430"/>
      <c r="K29" s="430"/>
      <c r="L29" s="430"/>
      <c r="M29" s="430"/>
      <c r="N29" s="430"/>
      <c r="O29" s="430"/>
    </row>
    <row r="30" spans="1:19" x14ac:dyDescent="0.25">
      <c r="A30" s="28" t="s">
        <v>272</v>
      </c>
      <c r="B30" s="28"/>
      <c r="C30" s="28"/>
      <c r="D30" s="28"/>
      <c r="E30" s="28"/>
      <c r="F30" s="28"/>
      <c r="G30" s="28"/>
      <c r="H30" s="28"/>
      <c r="I30" s="29"/>
      <c r="J30" s="28"/>
      <c r="K30" s="28"/>
      <c r="L30" s="28" t="s">
        <v>34</v>
      </c>
      <c r="M30" s="28"/>
      <c r="N30" s="28"/>
    </row>
    <row r="31" spans="1:19" x14ac:dyDescent="0.25">
      <c r="A31" s="59"/>
      <c r="F31" s="28"/>
      <c r="G31" s="28"/>
      <c r="H31" s="28"/>
      <c r="I31" s="29"/>
      <c r="J31" s="28"/>
      <c r="K31" s="28"/>
      <c r="L31" s="28"/>
      <c r="M31" s="28"/>
      <c r="N31" s="28"/>
    </row>
    <row r="32" spans="1:19" x14ac:dyDescent="0.25">
      <c r="A32" s="19" t="s">
        <v>28</v>
      </c>
      <c r="B32" s="28"/>
      <c r="C32" s="28"/>
      <c r="D32" s="28"/>
      <c r="E32" s="28"/>
      <c r="F32" s="28"/>
      <c r="G32" s="28"/>
      <c r="H32" s="28"/>
      <c r="I32" s="29"/>
      <c r="J32" s="28"/>
      <c r="K32" s="28" t="s">
        <v>34</v>
      </c>
      <c r="L32" s="28" t="s">
        <v>34</v>
      </c>
      <c r="M32" s="28" t="s">
        <v>34</v>
      </c>
      <c r="N32" s="28"/>
    </row>
    <row r="33" spans="1:14" x14ac:dyDescent="0.25">
      <c r="A33" s="28"/>
      <c r="B33" s="22"/>
      <c r="C33" s="28"/>
      <c r="D33" s="28"/>
      <c r="E33" s="28"/>
      <c r="F33" s="28"/>
      <c r="G33" s="28"/>
      <c r="H33" s="28"/>
      <c r="I33" s="29"/>
      <c r="J33" s="28"/>
      <c r="K33" s="28"/>
      <c r="L33" s="28" t="s">
        <v>34</v>
      </c>
      <c r="M33" s="28" t="s">
        <v>34</v>
      </c>
      <c r="N33" s="28"/>
    </row>
    <row r="34" spans="1:14" x14ac:dyDescent="0.25">
      <c r="A34" s="28"/>
      <c r="B34" s="41" t="s">
        <v>399</v>
      </c>
      <c r="C34" s="41"/>
      <c r="D34" s="41"/>
      <c r="E34" s="41"/>
      <c r="F34" s="41"/>
      <c r="G34" s="41"/>
      <c r="H34" s="41"/>
      <c r="I34" s="41"/>
      <c r="J34" s="41"/>
      <c r="K34" s="41"/>
      <c r="L34" s="41" t="s">
        <v>34</v>
      </c>
      <c r="M34" s="28"/>
      <c r="N34" s="28"/>
    </row>
    <row r="35" spans="1:14" x14ac:dyDescent="0.25">
      <c r="A35" s="28"/>
      <c r="B35" s="41"/>
      <c r="C35" s="41"/>
      <c r="D35" s="41"/>
      <c r="E35" s="41"/>
      <c r="F35" s="41"/>
      <c r="G35" s="41"/>
      <c r="H35" s="41"/>
      <c r="I35" s="41"/>
      <c r="J35" s="41"/>
      <c r="K35" s="41"/>
      <c r="L35" s="41"/>
      <c r="M35" s="28"/>
      <c r="N35" s="28"/>
    </row>
    <row r="36" spans="1:14" x14ac:dyDescent="0.25">
      <c r="A36" s="28"/>
      <c r="B36" s="22" t="s">
        <v>146</v>
      </c>
      <c r="C36" s="28"/>
      <c r="D36" s="28"/>
      <c r="E36" s="28"/>
      <c r="F36" s="28"/>
      <c r="G36" s="28"/>
      <c r="H36" s="28"/>
      <c r="I36" s="29"/>
      <c r="J36" s="28"/>
      <c r="K36" s="28"/>
      <c r="L36" s="28"/>
      <c r="M36" s="28" t="s">
        <v>34</v>
      </c>
      <c r="N36" s="28"/>
    </row>
    <row r="37" spans="1:14" x14ac:dyDescent="0.25">
      <c r="A37" s="28"/>
      <c r="B37" s="41" t="s">
        <v>302</v>
      </c>
      <c r="C37" s="41"/>
      <c r="D37" s="41"/>
      <c r="E37" s="41"/>
      <c r="F37" s="41"/>
      <c r="G37" s="41"/>
      <c r="H37" s="41"/>
      <c r="I37" s="41"/>
      <c r="J37" s="41"/>
      <c r="K37" s="41"/>
      <c r="L37" s="41"/>
      <c r="M37" s="28"/>
      <c r="N37" s="28"/>
    </row>
    <row r="38" spans="1:14" x14ac:dyDescent="0.25">
      <c r="A38" s="28"/>
      <c r="B38" s="41" t="s">
        <v>303</v>
      </c>
      <c r="C38" s="41"/>
      <c r="D38" s="41"/>
      <c r="E38" s="41"/>
      <c r="F38" s="41"/>
      <c r="G38" s="41"/>
      <c r="H38" s="41"/>
      <c r="I38" s="41"/>
      <c r="J38" s="41"/>
      <c r="K38" s="41"/>
      <c r="L38" s="41"/>
      <c r="M38" s="28"/>
      <c r="N38" s="28"/>
    </row>
    <row r="39" spans="1:14" x14ac:dyDescent="0.25">
      <c r="A39" s="28"/>
      <c r="B39" s="41" t="s">
        <v>304</v>
      </c>
      <c r="M39" s="28"/>
      <c r="N39" s="28"/>
    </row>
    <row r="40" spans="1:14" x14ac:dyDescent="0.25">
      <c r="A40" s="28"/>
      <c r="B40" s="41"/>
      <c r="M40" s="28"/>
      <c r="N40" s="28"/>
    </row>
    <row r="41" spans="1:14" x14ac:dyDescent="0.25">
      <c r="A41" s="28"/>
      <c r="B41" s="69" t="s">
        <v>156</v>
      </c>
      <c r="C41" s="87"/>
      <c r="D41" s="87"/>
      <c r="E41" s="87"/>
      <c r="F41" s="87"/>
      <c r="G41" s="87"/>
      <c r="H41" s="87"/>
      <c r="I41" s="88"/>
      <c r="J41" s="87"/>
      <c r="K41" s="87"/>
      <c r="L41" s="28"/>
      <c r="N41" s="28"/>
    </row>
    <row r="42" spans="1:14" x14ac:dyDescent="0.25">
      <c r="A42" s="28"/>
      <c r="B42" s="41" t="s">
        <v>440</v>
      </c>
      <c r="C42" s="41"/>
      <c r="D42" s="41"/>
      <c r="E42" s="41"/>
      <c r="F42" s="41"/>
      <c r="G42" s="41"/>
      <c r="H42" s="41"/>
      <c r="I42" s="41"/>
      <c r="J42" s="41"/>
      <c r="K42" s="41"/>
      <c r="L42" s="41"/>
      <c r="N42" s="28"/>
    </row>
    <row r="43" spans="1:14" x14ac:dyDescent="0.25">
      <c r="A43" s="28"/>
      <c r="B43" s="41"/>
      <c r="C43" s="41"/>
      <c r="D43" s="41"/>
      <c r="E43" s="41"/>
      <c r="F43" s="41"/>
      <c r="G43" s="41"/>
      <c r="H43" s="41"/>
      <c r="I43" s="41"/>
      <c r="J43" s="41"/>
      <c r="K43" s="41"/>
      <c r="L43" s="41"/>
      <c r="N43" s="28"/>
    </row>
    <row r="44" spans="1:14" x14ac:dyDescent="0.25">
      <c r="A44" s="28"/>
      <c r="B44" s="75" t="s">
        <v>36</v>
      </c>
      <c r="C44" s="28"/>
      <c r="D44" s="28"/>
      <c r="E44" s="28"/>
      <c r="F44" s="28"/>
      <c r="G44" s="28"/>
      <c r="H44" s="28"/>
      <c r="I44" s="29"/>
      <c r="J44" s="28"/>
      <c r="K44" s="28"/>
      <c r="M44" s="28"/>
      <c r="N44" s="28"/>
    </row>
    <row r="45" spans="1:14" x14ac:dyDescent="0.25">
      <c r="A45" s="28"/>
      <c r="B45" s="22" t="s">
        <v>392</v>
      </c>
      <c r="M45" s="28"/>
      <c r="N45" s="28"/>
    </row>
    <row r="46" spans="1:14" s="72" customFormat="1" x14ac:dyDescent="0.25">
      <c r="B46" s="79"/>
    </row>
    <row r="47" spans="1:14" x14ac:dyDescent="0.25">
      <c r="B47" s="22" t="s">
        <v>441</v>
      </c>
    </row>
    <row r="48" spans="1:14" x14ac:dyDescent="0.25">
      <c r="B48" s="41" t="s">
        <v>312</v>
      </c>
      <c r="L48" s="28"/>
    </row>
    <row r="49" spans="2:14" x14ac:dyDescent="0.25">
      <c r="B49" s="41"/>
      <c r="L49" s="28"/>
    </row>
    <row r="50" spans="2:14" x14ac:dyDescent="0.25">
      <c r="B50" s="79" t="s">
        <v>419</v>
      </c>
      <c r="C50" s="72"/>
      <c r="D50" s="72"/>
      <c r="E50" s="72"/>
      <c r="F50" s="72"/>
      <c r="G50" s="72"/>
      <c r="H50" s="72"/>
      <c r="I50" s="72"/>
      <c r="J50" s="72"/>
      <c r="K50" s="72"/>
      <c r="N50" t="s">
        <v>34</v>
      </c>
    </row>
    <row r="51" spans="2:14" s="72" customFormat="1" x14ac:dyDescent="0.25">
      <c r="B51" s="79"/>
    </row>
    <row r="52" spans="2:14" x14ac:dyDescent="0.25">
      <c r="B52" s="41" t="s">
        <v>317</v>
      </c>
      <c r="C52" s="64"/>
      <c r="D52" s="64"/>
      <c r="E52" s="64"/>
      <c r="F52" s="64"/>
      <c r="G52" s="64"/>
      <c r="H52" s="64"/>
      <c r="I52" s="64"/>
      <c r="J52" s="64"/>
      <c r="K52" s="64"/>
      <c r="L52" s="65"/>
    </row>
    <row r="53" spans="2:14" x14ac:dyDescent="0.25">
      <c r="B53" s="22" t="s">
        <v>401</v>
      </c>
    </row>
    <row r="54" spans="2:14" x14ac:dyDescent="0.25">
      <c r="B54" s="22" t="s">
        <v>457</v>
      </c>
    </row>
    <row r="55" spans="2:14" x14ac:dyDescent="0.25">
      <c r="B55" s="22" t="s">
        <v>422</v>
      </c>
      <c r="C55" s="28"/>
      <c r="D55" s="28"/>
      <c r="E55" s="28"/>
      <c r="F55" s="28"/>
      <c r="G55" s="28"/>
      <c r="H55" s="28"/>
      <c r="I55" s="29"/>
      <c r="J55" s="28"/>
    </row>
    <row r="56" spans="2:14" x14ac:dyDescent="0.25">
      <c r="B56" s="22" t="s">
        <v>402</v>
      </c>
    </row>
    <row r="58" spans="2:14" x14ac:dyDescent="0.25">
      <c r="B58" s="41" t="s">
        <v>154</v>
      </c>
      <c r="C58" s="41"/>
      <c r="D58" s="41"/>
      <c r="E58" s="41"/>
      <c r="F58" s="41"/>
      <c r="G58" s="41"/>
      <c r="H58" s="41"/>
      <c r="I58" s="41"/>
      <c r="J58" s="41"/>
      <c r="K58" s="41"/>
    </row>
    <row r="59" spans="2:14" x14ac:dyDescent="0.25">
      <c r="B59" s="41" t="s">
        <v>155</v>
      </c>
      <c r="C59" s="41"/>
      <c r="D59" s="41"/>
      <c r="E59" s="41"/>
      <c r="F59" s="41"/>
      <c r="G59" s="41"/>
      <c r="H59" s="41"/>
      <c r="I59" s="41"/>
      <c r="J59" s="41"/>
      <c r="K59" s="41"/>
    </row>
    <row r="60" spans="2:14" x14ac:dyDescent="0.25">
      <c r="B60" s="22" t="s">
        <v>157</v>
      </c>
      <c r="C60" s="28"/>
      <c r="D60" s="28"/>
      <c r="E60" s="28"/>
      <c r="F60" s="28"/>
      <c r="G60" s="28"/>
      <c r="H60" s="29"/>
      <c r="I60" s="28"/>
      <c r="J60" s="41"/>
      <c r="K60" s="28"/>
    </row>
  </sheetData>
  <mergeCells count="1">
    <mergeCell ref="I29:O29"/>
  </mergeCells>
  <pageMargins left="0.7" right="0.7" top="0.75" bottom="0.75" header="0.3" footer="0.3"/>
  <pageSetup scale="64" orientation="landscape" r:id="rId1"/>
  <drawing r:id="rId2"/>
  <legacyDrawing r:id="rId3"/>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0">
    <pageSetUpPr fitToPage="1"/>
  </sheetPr>
  <dimension ref="A6:S60"/>
  <sheetViews>
    <sheetView zoomScale="90" zoomScaleNormal="90" workbookViewId="0"/>
  </sheetViews>
  <sheetFormatPr defaultRowHeight="15" x14ac:dyDescent="0.25"/>
  <cols>
    <col min="1" max="1" width="7.140625" customWidth="1"/>
    <col min="3" max="3" width="6.42578125" customWidth="1"/>
    <col min="4" max="4" width="8.85546875" customWidth="1"/>
    <col min="5" max="5" width="8.140625" customWidth="1"/>
    <col min="6" max="6" width="8.85546875" customWidth="1"/>
    <col min="7" max="7" width="9.140625" customWidth="1"/>
    <col min="8" max="8" width="8.140625" customWidth="1"/>
    <col min="10" max="10" width="7.7109375" customWidth="1"/>
    <col min="12" max="12" width="7.5703125" customWidth="1"/>
    <col min="13" max="13" width="8.85546875" customWidth="1"/>
    <col min="14" max="14" width="8.42578125" customWidth="1"/>
  </cols>
  <sheetData>
    <row r="6" spans="1:15" x14ac:dyDescent="0.25">
      <c r="A6" s="7" t="s">
        <v>12</v>
      </c>
      <c r="B6" s="28"/>
      <c r="C6" s="28"/>
      <c r="D6" s="28"/>
      <c r="E6" s="28"/>
      <c r="F6" s="28"/>
      <c r="G6" s="28"/>
      <c r="H6" s="28"/>
      <c r="I6" s="109"/>
      <c r="J6" s="28"/>
      <c r="K6" s="28"/>
      <c r="L6" s="28"/>
      <c r="M6" s="28"/>
      <c r="N6" s="28"/>
      <c r="O6" s="28"/>
    </row>
    <row r="7" spans="1:15" x14ac:dyDescent="0.25">
      <c r="A7" s="30" t="s">
        <v>13</v>
      </c>
      <c r="B7" s="30">
        <v>41130</v>
      </c>
    </row>
    <row r="8" spans="1:15" x14ac:dyDescent="0.25">
      <c r="A8" s="28" t="s">
        <v>14</v>
      </c>
      <c r="B8" s="28">
        <v>34</v>
      </c>
      <c r="C8" s="28" t="s">
        <v>407</v>
      </c>
      <c r="D8" s="28"/>
      <c r="E8" s="28"/>
      <c r="F8" s="28"/>
      <c r="G8" s="28"/>
      <c r="H8" s="28"/>
      <c r="I8" s="109"/>
      <c r="J8" s="28"/>
      <c r="K8" s="28" t="s">
        <v>34</v>
      </c>
      <c r="L8" s="28" t="s">
        <v>34</v>
      </c>
      <c r="M8" s="28"/>
      <c r="N8" s="28"/>
    </row>
    <row r="9" spans="1:15" x14ac:dyDescent="0.25">
      <c r="A9" s="28" t="s">
        <v>15</v>
      </c>
      <c r="B9" s="28" t="s">
        <v>395</v>
      </c>
      <c r="C9" s="28" t="s">
        <v>298</v>
      </c>
      <c r="D9" s="28"/>
      <c r="E9" s="28"/>
      <c r="F9" s="28"/>
      <c r="G9" s="28"/>
      <c r="H9" s="28"/>
      <c r="I9" s="109"/>
      <c r="J9" s="28"/>
      <c r="K9" s="28"/>
      <c r="L9" s="28"/>
      <c r="M9" s="28"/>
      <c r="N9" s="28"/>
    </row>
    <row r="10" spans="1:15" x14ac:dyDescent="0.25">
      <c r="A10" s="28" t="s">
        <v>16</v>
      </c>
      <c r="B10">
        <v>2000</v>
      </c>
      <c r="C10" s="31" t="s">
        <v>195</v>
      </c>
      <c r="D10" s="28"/>
      <c r="E10" s="28"/>
      <c r="F10" s="28"/>
      <c r="G10" s="28"/>
      <c r="H10" s="28"/>
      <c r="I10" s="109" t="s">
        <v>34</v>
      </c>
      <c r="J10" s="28" t="s">
        <v>34</v>
      </c>
      <c r="K10" s="28" t="s">
        <v>34</v>
      </c>
      <c r="L10" s="28" t="s">
        <v>34</v>
      </c>
      <c r="M10" s="28" t="s">
        <v>34</v>
      </c>
      <c r="N10" s="28" t="s">
        <v>34</v>
      </c>
    </row>
    <row r="11" spans="1:15" x14ac:dyDescent="0.25">
      <c r="A11" s="28"/>
      <c r="B11" s="243">
        <v>200000000</v>
      </c>
      <c r="C11" s="31" t="s">
        <v>58</v>
      </c>
      <c r="D11" s="28"/>
      <c r="E11" s="28"/>
      <c r="F11" s="28"/>
      <c r="G11" s="28"/>
      <c r="H11" s="28"/>
      <c r="I11" s="109"/>
      <c r="J11" s="28"/>
      <c r="K11" s="28" t="s">
        <v>34</v>
      </c>
      <c r="L11" s="28"/>
      <c r="M11" s="28"/>
      <c r="N11" s="28"/>
    </row>
    <row r="12" spans="1:15" x14ac:dyDescent="0.25">
      <c r="A12" s="28"/>
      <c r="B12">
        <v>95</v>
      </c>
      <c r="C12" s="31" t="s">
        <v>44</v>
      </c>
      <c r="D12" s="28"/>
      <c r="E12" s="28"/>
      <c r="F12" s="28"/>
      <c r="G12" s="28"/>
      <c r="H12" s="28"/>
      <c r="I12" s="109"/>
      <c r="J12" s="28"/>
      <c r="K12" s="28"/>
      <c r="L12" s="28"/>
      <c r="M12" s="28"/>
      <c r="N12" s="28"/>
    </row>
    <row r="13" spans="1:15" x14ac:dyDescent="0.25">
      <c r="A13" s="28"/>
      <c r="B13" s="244">
        <v>6</v>
      </c>
      <c r="C13" s="28" t="s">
        <v>697</v>
      </c>
      <c r="D13" s="28"/>
      <c r="E13" s="28"/>
      <c r="F13" s="28"/>
      <c r="G13" s="28"/>
      <c r="H13" s="28"/>
      <c r="I13" s="285"/>
      <c r="J13" s="28"/>
      <c r="K13" s="28"/>
      <c r="L13" s="28"/>
      <c r="M13" s="28"/>
      <c r="N13" s="28"/>
    </row>
    <row r="14" spans="1:15" x14ac:dyDescent="0.25">
      <c r="A14" s="28"/>
      <c r="B14" s="244">
        <v>100</v>
      </c>
      <c r="C14" s="87" t="s">
        <v>696</v>
      </c>
      <c r="D14" s="28"/>
      <c r="E14" s="28"/>
      <c r="F14" s="28"/>
      <c r="G14" s="28"/>
      <c r="H14" s="28"/>
      <c r="I14" s="285"/>
      <c r="J14" s="28"/>
      <c r="K14" s="28"/>
      <c r="L14" s="28"/>
      <c r="M14" s="28"/>
      <c r="N14" s="28"/>
    </row>
    <row r="15" spans="1:15" x14ac:dyDescent="0.25">
      <c r="A15" s="28"/>
      <c r="B15" s="244">
        <v>0</v>
      </c>
      <c r="C15" s="87" t="s">
        <v>698</v>
      </c>
      <c r="D15" s="28"/>
      <c r="E15" s="28"/>
      <c r="F15" s="28"/>
      <c r="G15" s="28"/>
      <c r="H15" s="28"/>
      <c r="I15" s="285"/>
      <c r="J15" s="28"/>
      <c r="K15" s="28"/>
      <c r="L15" s="28"/>
      <c r="M15" s="28"/>
      <c r="N15" s="28"/>
    </row>
    <row r="16" spans="1:15" x14ac:dyDescent="0.25">
      <c r="A16" s="28"/>
      <c r="B16" s="245">
        <f>(B12*B13/100*1000)/(B10+B12-B14+B15)*1000</f>
        <v>2857.1428571428573</v>
      </c>
      <c r="C16" s="28" t="s">
        <v>700</v>
      </c>
      <c r="D16" s="28"/>
      <c r="E16" s="28"/>
      <c r="F16" s="28"/>
      <c r="G16" s="28"/>
      <c r="H16" s="28"/>
      <c r="I16" s="285"/>
      <c r="J16" s="28"/>
      <c r="K16" s="28"/>
      <c r="L16" s="28"/>
      <c r="M16" s="28"/>
      <c r="N16" s="28"/>
    </row>
    <row r="17" spans="1:19" ht="15.75" thickBot="1" x14ac:dyDescent="0.3">
      <c r="A17" s="28"/>
      <c r="C17" s="87" t="s">
        <v>711</v>
      </c>
      <c r="D17" s="28"/>
      <c r="E17" s="28"/>
      <c r="F17" s="28"/>
      <c r="G17" s="28"/>
      <c r="H17" s="28"/>
      <c r="I17" s="109"/>
      <c r="J17" s="28"/>
      <c r="K17" s="28"/>
      <c r="L17" s="28"/>
      <c r="M17" s="28"/>
      <c r="N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91">
        <v>22</v>
      </c>
      <c r="C19" s="91">
        <v>9.06</v>
      </c>
      <c r="D19" s="91">
        <v>9.08</v>
      </c>
      <c r="E19" s="91">
        <v>0.65</v>
      </c>
      <c r="F19" s="91">
        <v>0.25</v>
      </c>
      <c r="G19" s="91">
        <v>503</v>
      </c>
      <c r="H19" s="91">
        <v>3250</v>
      </c>
      <c r="I19" s="98">
        <v>450000000</v>
      </c>
      <c r="J19" s="125">
        <f>LOG(I$19)-LOG(I19)</f>
        <v>0</v>
      </c>
      <c r="K19" s="98">
        <v>90000000</v>
      </c>
      <c r="L19" s="125">
        <f>LOG(K$19)-LOG(K19)</f>
        <v>0</v>
      </c>
      <c r="M19" s="34"/>
      <c r="N19" s="34"/>
      <c r="O19" s="99"/>
      <c r="P19" s="233">
        <f>B$16*A19</f>
        <v>0</v>
      </c>
      <c r="Q19" s="233">
        <f>6/LINEST($J19:$J20,$P19:$P20,FALSE)</f>
        <v>13005.922450584227</v>
      </c>
      <c r="R19" s="249">
        <f>Q19/3000</f>
        <v>4.3353074835280756</v>
      </c>
      <c r="S19" s="249">
        <f>(J27/LINEST($J19:$J20,$P19:$P20,FALSE))/$B$16</f>
        <v>6.5625717031906232</v>
      </c>
    </row>
    <row r="20" spans="1:19" ht="15.75" thickBot="1" x14ac:dyDescent="0.3">
      <c r="A20" s="32">
        <v>3</v>
      </c>
      <c r="B20" s="58">
        <v>21.7</v>
      </c>
      <c r="C20" s="58">
        <v>9.0500000000000007</v>
      </c>
      <c r="D20" s="58">
        <v>9.89</v>
      </c>
      <c r="E20" s="58">
        <v>2000</v>
      </c>
      <c r="F20" s="58">
        <v>0.26</v>
      </c>
      <c r="G20" s="58">
        <v>471</v>
      </c>
      <c r="H20" s="58">
        <v>3360</v>
      </c>
      <c r="I20" s="98">
        <v>50000</v>
      </c>
      <c r="J20" s="125">
        <f>LOG(I$19)-LOG(I20)</f>
        <v>3.9542425094393252</v>
      </c>
      <c r="K20" s="98">
        <v>40000</v>
      </c>
      <c r="L20" s="125">
        <f>LOG(K$19)-LOG(K20)</f>
        <v>3.3521825181113627</v>
      </c>
      <c r="M20" s="99"/>
      <c r="N20" s="99"/>
      <c r="O20" s="99"/>
      <c r="P20" s="233">
        <f>B$16*A20</f>
        <v>8571.4285714285725</v>
      </c>
      <c r="Q20" s="225"/>
    </row>
    <row r="21" spans="1:19" ht="15.75" thickBot="1" x14ac:dyDescent="0.3">
      <c r="A21" s="32">
        <v>5</v>
      </c>
      <c r="B21" s="58">
        <v>21.6</v>
      </c>
      <c r="C21" s="58">
        <v>9.0500000000000007</v>
      </c>
      <c r="D21" s="58">
        <v>9.8800000000000008</v>
      </c>
      <c r="E21" s="58">
        <v>2300</v>
      </c>
      <c r="F21" s="58">
        <v>0.38</v>
      </c>
      <c r="G21" s="58">
        <v>477</v>
      </c>
      <c r="H21" s="58"/>
      <c r="I21" s="98">
        <v>0</v>
      </c>
      <c r="J21" s="58" t="s">
        <v>412</v>
      </c>
      <c r="K21" s="98">
        <v>0</v>
      </c>
      <c r="L21" s="58" t="s">
        <v>411</v>
      </c>
      <c r="M21" s="99"/>
      <c r="N21" s="99"/>
      <c r="O21" s="99"/>
      <c r="P21" s="233">
        <f>B$16*A21</f>
        <v>14285.714285714286</v>
      </c>
    </row>
    <row r="22" spans="1:19" ht="15.75" thickBot="1" x14ac:dyDescent="0.3">
      <c r="A22" s="32">
        <v>10</v>
      </c>
      <c r="B22" s="58">
        <v>21.1</v>
      </c>
      <c r="C22" s="58">
        <v>9.06</v>
      </c>
      <c r="D22" s="58">
        <v>9.89</v>
      </c>
      <c r="E22" s="58">
        <v>2200</v>
      </c>
      <c r="F22" s="58">
        <v>0.5</v>
      </c>
      <c r="G22" s="58">
        <v>468</v>
      </c>
      <c r="H22" s="58"/>
      <c r="I22" s="98">
        <v>0</v>
      </c>
      <c r="J22" s="58" t="s">
        <v>412</v>
      </c>
      <c r="K22" s="98">
        <v>0</v>
      </c>
      <c r="L22" s="58" t="s">
        <v>411</v>
      </c>
      <c r="M22" s="99"/>
      <c r="N22" s="99"/>
      <c r="O22" s="99"/>
      <c r="P22" s="233">
        <f>B$16*A22</f>
        <v>28571.428571428572</v>
      </c>
    </row>
    <row r="23" spans="1:19" ht="15.75" thickBot="1" x14ac:dyDescent="0.3">
      <c r="A23" s="32">
        <v>15</v>
      </c>
      <c r="B23" s="58">
        <v>20.7</v>
      </c>
      <c r="C23" s="58">
        <v>9.08</v>
      </c>
      <c r="D23" s="58">
        <v>9.91</v>
      </c>
      <c r="E23" s="58">
        <v>2100</v>
      </c>
      <c r="F23" s="58">
        <v>0.36</v>
      </c>
      <c r="G23" s="58">
        <v>465</v>
      </c>
      <c r="H23" s="58"/>
      <c r="I23" s="98">
        <v>0</v>
      </c>
      <c r="J23" s="58" t="s">
        <v>412</v>
      </c>
      <c r="K23" s="98">
        <v>0</v>
      </c>
      <c r="L23" s="58" t="s">
        <v>411</v>
      </c>
      <c r="M23" s="99"/>
      <c r="N23" s="99"/>
      <c r="O23" s="99"/>
      <c r="P23" s="233"/>
    </row>
    <row r="24" spans="1:19" ht="15.75" thickBot="1" x14ac:dyDescent="0.3">
      <c r="A24" s="32">
        <v>30</v>
      </c>
      <c r="B24" s="58">
        <v>19.600000000000001</v>
      </c>
      <c r="C24" s="58">
        <v>9.08</v>
      </c>
      <c r="D24" s="58">
        <v>9.94</v>
      </c>
      <c r="E24" s="58">
        <v>2200</v>
      </c>
      <c r="F24" s="58">
        <v>0.44</v>
      </c>
      <c r="G24" s="58">
        <v>471</v>
      </c>
      <c r="H24" s="58"/>
      <c r="I24" s="98">
        <v>0</v>
      </c>
      <c r="J24" s="58" t="s">
        <v>412</v>
      </c>
      <c r="K24" s="98">
        <v>0</v>
      </c>
      <c r="L24" s="58" t="s">
        <v>411</v>
      </c>
      <c r="M24" s="60"/>
      <c r="N24" s="60"/>
      <c r="O24" s="99"/>
      <c r="P24" s="233"/>
    </row>
    <row r="25" spans="1:19" ht="15.75" thickBot="1" x14ac:dyDescent="0.3">
      <c r="A25" s="32">
        <v>60</v>
      </c>
      <c r="B25" s="58">
        <v>19.899999999999999</v>
      </c>
      <c r="C25" s="58">
        <v>9.07</v>
      </c>
      <c r="D25" s="58">
        <v>9.93</v>
      </c>
      <c r="E25" s="58">
        <v>2100</v>
      </c>
      <c r="F25" s="58">
        <v>0.33</v>
      </c>
      <c r="G25" s="58">
        <v>455</v>
      </c>
      <c r="H25" s="58">
        <v>3150</v>
      </c>
      <c r="I25" s="98">
        <v>0</v>
      </c>
      <c r="J25" s="58" t="s">
        <v>412</v>
      </c>
      <c r="K25" s="98">
        <v>0</v>
      </c>
      <c r="L25" s="58" t="s">
        <v>411</v>
      </c>
      <c r="M25" s="60">
        <v>244</v>
      </c>
      <c r="N25" s="60">
        <v>14854</v>
      </c>
      <c r="O25" s="89"/>
      <c r="P25" s="233"/>
    </row>
    <row r="26" spans="1:19" ht="15.75" thickBot="1" x14ac:dyDescent="0.3">
      <c r="A26" s="86" t="s">
        <v>242</v>
      </c>
      <c r="B26" s="60">
        <v>19.899999999999999</v>
      </c>
      <c r="C26" s="60">
        <v>9.06</v>
      </c>
      <c r="D26" s="60">
        <v>9.99</v>
      </c>
      <c r="E26" s="60">
        <v>2100</v>
      </c>
      <c r="F26" s="60">
        <v>0.25</v>
      </c>
      <c r="G26" s="60">
        <v>457</v>
      </c>
      <c r="H26" s="60">
        <v>3200</v>
      </c>
      <c r="I26" s="98">
        <v>0</v>
      </c>
      <c r="J26" s="58" t="s">
        <v>412</v>
      </c>
      <c r="K26" s="98">
        <v>0</v>
      </c>
      <c r="L26" s="58" t="s">
        <v>411</v>
      </c>
      <c r="M26" s="60">
        <v>212</v>
      </c>
      <c r="N26" s="60">
        <v>15074</v>
      </c>
      <c r="O26" s="99"/>
    </row>
    <row r="27" spans="1:19" x14ac:dyDescent="0.25">
      <c r="A27" s="28"/>
      <c r="B27" s="92">
        <f>AVERAGE(B20)</f>
        <v>21.7</v>
      </c>
      <c r="C27" s="92">
        <f>AVERAGE(C20)</f>
        <v>9.0500000000000007</v>
      </c>
      <c r="D27" s="92"/>
      <c r="E27" s="92"/>
      <c r="F27" s="92"/>
      <c r="G27" s="92"/>
      <c r="H27" s="92"/>
      <c r="I27" s="106"/>
      <c r="J27" s="92">
        <v>8.65</v>
      </c>
      <c r="K27" s="106"/>
      <c r="L27" s="92"/>
      <c r="M27" s="92"/>
      <c r="N27" s="92"/>
      <c r="O27" s="92"/>
    </row>
    <row r="28" spans="1:19" x14ac:dyDescent="0.25">
      <c r="A28" s="28" t="s">
        <v>140</v>
      </c>
      <c r="B28" s="28"/>
      <c r="C28" s="28"/>
      <c r="D28" s="28"/>
      <c r="E28" s="28"/>
      <c r="F28" s="28"/>
      <c r="G28" s="28"/>
      <c r="H28" s="28"/>
      <c r="I28" s="109"/>
      <c r="J28" s="28"/>
      <c r="K28" s="28"/>
      <c r="L28" s="28"/>
      <c r="M28" s="28"/>
      <c r="N28" s="28"/>
    </row>
    <row r="29" spans="1:19" x14ac:dyDescent="0.25">
      <c r="A29" s="28"/>
      <c r="B29" s="28" t="s">
        <v>141</v>
      </c>
      <c r="C29" s="28"/>
      <c r="D29" s="28"/>
      <c r="E29" s="28"/>
      <c r="F29" s="28"/>
      <c r="G29" s="28"/>
      <c r="H29" s="28"/>
      <c r="I29" s="430" t="s">
        <v>398</v>
      </c>
      <c r="J29" s="430"/>
      <c r="K29" s="430"/>
      <c r="L29" s="430"/>
      <c r="M29" s="430"/>
      <c r="N29" s="430"/>
      <c r="O29" s="430"/>
    </row>
    <row r="30" spans="1:19" x14ac:dyDescent="0.25">
      <c r="A30" s="28" t="s">
        <v>272</v>
      </c>
      <c r="B30" s="28"/>
      <c r="C30" s="28"/>
      <c r="D30" s="28"/>
      <c r="E30" s="28"/>
      <c r="F30" s="28"/>
      <c r="G30" s="28"/>
      <c r="H30" s="28"/>
      <c r="I30" s="109"/>
      <c r="J30" s="28"/>
      <c r="K30" s="28"/>
      <c r="L30" s="28" t="s">
        <v>34</v>
      </c>
      <c r="M30" s="28"/>
      <c r="N30" s="28"/>
    </row>
    <row r="31" spans="1:19" x14ac:dyDescent="0.25">
      <c r="A31" s="59"/>
      <c r="F31" s="28"/>
      <c r="G31" s="28"/>
      <c r="H31" s="28"/>
      <c r="I31" s="109"/>
      <c r="J31" s="28"/>
      <c r="K31" s="28"/>
      <c r="L31" s="28"/>
      <c r="M31" s="28"/>
      <c r="N31" s="28"/>
    </row>
    <row r="32" spans="1:19" x14ac:dyDescent="0.25">
      <c r="A32" s="19" t="s">
        <v>28</v>
      </c>
      <c r="B32" s="28"/>
      <c r="C32" s="28"/>
      <c r="D32" s="28"/>
      <c r="E32" s="28"/>
      <c r="F32" s="28"/>
      <c r="G32" s="28"/>
      <c r="H32" s="28"/>
      <c r="I32" s="109"/>
      <c r="J32" s="28"/>
      <c r="K32" s="28" t="s">
        <v>34</v>
      </c>
      <c r="L32" s="28" t="s">
        <v>34</v>
      </c>
      <c r="M32" s="28" t="s">
        <v>34</v>
      </c>
      <c r="N32" s="28"/>
    </row>
    <row r="33" spans="1:14" x14ac:dyDescent="0.25">
      <c r="A33" s="28"/>
      <c r="B33" s="22"/>
      <c r="C33" s="28"/>
      <c r="D33" s="28"/>
      <c r="E33" s="28"/>
      <c r="F33" s="28"/>
      <c r="G33" s="28"/>
      <c r="H33" s="28"/>
      <c r="I33" s="109"/>
      <c r="J33" s="28"/>
      <c r="K33" s="28"/>
      <c r="L33" s="28" t="s">
        <v>34</v>
      </c>
      <c r="M33" s="28" t="s">
        <v>34</v>
      </c>
      <c r="N33" s="28"/>
    </row>
    <row r="34" spans="1:14" x14ac:dyDescent="0.25">
      <c r="A34" s="28"/>
      <c r="B34" s="41" t="s">
        <v>431</v>
      </c>
      <c r="C34" s="41"/>
      <c r="D34" s="41"/>
      <c r="E34" s="41"/>
      <c r="F34" s="41"/>
      <c r="G34" s="41"/>
      <c r="H34" s="41"/>
      <c r="I34" s="41"/>
      <c r="J34" s="41"/>
      <c r="K34" s="41"/>
      <c r="L34" s="41" t="s">
        <v>34</v>
      </c>
      <c r="M34" s="28"/>
      <c r="N34" s="28"/>
    </row>
    <row r="35" spans="1:14" x14ac:dyDescent="0.25">
      <c r="A35" s="28"/>
      <c r="B35" s="41"/>
      <c r="C35" s="41"/>
      <c r="D35" s="41"/>
      <c r="E35" s="41"/>
      <c r="F35" s="41"/>
      <c r="G35" s="41"/>
      <c r="H35" s="41"/>
      <c r="I35" s="41"/>
      <c r="J35" s="41"/>
      <c r="K35" s="41"/>
      <c r="L35" s="41"/>
      <c r="M35" s="28"/>
      <c r="N35" s="28"/>
    </row>
    <row r="36" spans="1:14" x14ac:dyDescent="0.25">
      <c r="A36" s="28"/>
      <c r="B36" s="22" t="s">
        <v>146</v>
      </c>
      <c r="C36" s="28"/>
      <c r="D36" s="28"/>
      <c r="E36" s="28"/>
      <c r="F36" s="28"/>
      <c r="G36" s="28"/>
      <c r="H36" s="28"/>
      <c r="I36" s="109"/>
      <c r="J36" s="28"/>
      <c r="K36" s="28"/>
      <c r="L36" s="28"/>
      <c r="M36" s="28" t="s">
        <v>34</v>
      </c>
      <c r="N36" s="28"/>
    </row>
    <row r="37" spans="1:14" x14ac:dyDescent="0.25">
      <c r="A37" s="28"/>
      <c r="B37" s="41" t="s">
        <v>302</v>
      </c>
      <c r="C37" s="41"/>
      <c r="D37" s="41"/>
      <c r="E37" s="41"/>
      <c r="F37" s="41"/>
      <c r="G37" s="41"/>
      <c r="H37" s="41"/>
      <c r="I37" s="41"/>
      <c r="J37" s="41"/>
      <c r="K37" s="41"/>
      <c r="L37" s="41"/>
      <c r="M37" s="28"/>
      <c r="N37" s="28"/>
    </row>
    <row r="38" spans="1:14" x14ac:dyDescent="0.25">
      <c r="A38" s="28"/>
      <c r="B38" s="41" t="s">
        <v>303</v>
      </c>
      <c r="C38" s="41"/>
      <c r="D38" s="41"/>
      <c r="E38" s="41"/>
      <c r="F38" s="41"/>
      <c r="G38" s="41"/>
      <c r="H38" s="41"/>
      <c r="I38" s="41"/>
      <c r="J38" s="41"/>
      <c r="K38" s="41"/>
      <c r="L38" s="41"/>
      <c r="M38" s="28"/>
      <c r="N38" s="28"/>
    </row>
    <row r="39" spans="1:14" x14ac:dyDescent="0.25">
      <c r="A39" s="28"/>
      <c r="B39" s="41" t="s">
        <v>304</v>
      </c>
      <c r="M39" s="28"/>
      <c r="N39" s="28"/>
    </row>
    <row r="40" spans="1:14" x14ac:dyDescent="0.25">
      <c r="A40" s="28"/>
      <c r="B40" s="41"/>
      <c r="M40" s="28"/>
      <c r="N40" s="28"/>
    </row>
    <row r="41" spans="1:14" x14ac:dyDescent="0.25">
      <c r="A41" s="28"/>
      <c r="B41" s="69" t="s">
        <v>156</v>
      </c>
      <c r="C41" s="87"/>
      <c r="D41" s="87"/>
      <c r="E41" s="87"/>
      <c r="F41" s="87"/>
      <c r="G41" s="87"/>
      <c r="H41" s="87"/>
      <c r="I41" s="88"/>
      <c r="J41" s="87"/>
      <c r="K41" s="87"/>
      <c r="L41" s="28"/>
      <c r="N41" s="28"/>
    </row>
    <row r="42" spans="1:14" x14ac:dyDescent="0.25">
      <c r="A42" s="28"/>
      <c r="B42" s="41" t="s">
        <v>442</v>
      </c>
      <c r="C42" s="41"/>
      <c r="D42" s="41"/>
      <c r="E42" s="41"/>
      <c r="F42" s="41"/>
      <c r="G42" s="41"/>
      <c r="H42" s="41"/>
      <c r="I42" s="41"/>
      <c r="J42" s="41"/>
      <c r="K42" s="41"/>
      <c r="L42" s="41"/>
      <c r="N42" s="28"/>
    </row>
    <row r="43" spans="1:14" x14ac:dyDescent="0.25">
      <c r="A43" s="28"/>
      <c r="B43" s="41"/>
      <c r="C43" s="41"/>
      <c r="D43" s="41"/>
      <c r="E43" s="41"/>
      <c r="F43" s="41"/>
      <c r="G43" s="41"/>
      <c r="H43" s="41"/>
      <c r="I43" s="41"/>
      <c r="J43" s="41"/>
      <c r="K43" s="41"/>
      <c r="L43" s="41"/>
      <c r="N43" s="28"/>
    </row>
    <row r="44" spans="1:14" x14ac:dyDescent="0.25">
      <c r="A44" s="28"/>
      <c r="B44" s="75" t="s">
        <v>36</v>
      </c>
      <c r="C44" s="28"/>
      <c r="D44" s="28"/>
      <c r="E44" s="28"/>
      <c r="F44" s="28"/>
      <c r="G44" s="28"/>
      <c r="H44" s="28"/>
      <c r="I44" s="109"/>
      <c r="J44" s="28"/>
      <c r="K44" s="28"/>
      <c r="M44" s="28"/>
      <c r="N44" s="28"/>
    </row>
    <row r="45" spans="1:14" x14ac:dyDescent="0.25">
      <c r="A45" s="28"/>
      <c r="B45" s="22" t="s">
        <v>392</v>
      </c>
      <c r="M45" s="28"/>
      <c r="N45" s="28"/>
    </row>
    <row r="46" spans="1:14" s="72" customFormat="1" x14ac:dyDescent="0.25">
      <c r="B46" s="79"/>
    </row>
    <row r="47" spans="1:14" x14ac:dyDescent="0.25">
      <c r="B47" s="22" t="s">
        <v>443</v>
      </c>
    </row>
    <row r="48" spans="1:14" x14ac:dyDescent="0.25">
      <c r="B48" s="41" t="s">
        <v>312</v>
      </c>
      <c r="L48" s="28"/>
    </row>
    <row r="49" spans="2:14" x14ac:dyDescent="0.25">
      <c r="B49" s="41"/>
      <c r="L49" s="28"/>
    </row>
    <row r="50" spans="2:14" x14ac:dyDescent="0.25">
      <c r="B50" s="79" t="s">
        <v>400</v>
      </c>
      <c r="C50" s="72"/>
      <c r="D50" s="72"/>
      <c r="E50" s="72"/>
      <c r="F50" s="72"/>
      <c r="G50" s="72"/>
      <c r="H50" s="72"/>
      <c r="I50" s="72"/>
      <c r="J50" s="72"/>
      <c r="K50" s="72"/>
      <c r="N50" t="s">
        <v>34</v>
      </c>
    </row>
    <row r="51" spans="2:14" s="72" customFormat="1" x14ac:dyDescent="0.25">
      <c r="B51" s="79"/>
    </row>
    <row r="52" spans="2:14" x14ac:dyDescent="0.25">
      <c r="B52" s="41" t="s">
        <v>306</v>
      </c>
      <c r="C52" s="64"/>
      <c r="D52" s="64"/>
      <c r="E52" s="64"/>
      <c r="F52" s="64"/>
      <c r="G52" s="64"/>
      <c r="H52" s="64"/>
      <c r="I52" s="64"/>
      <c r="J52" s="64"/>
      <c r="K52" s="64"/>
      <c r="L52" s="65"/>
    </row>
    <row r="53" spans="2:14" x14ac:dyDescent="0.25">
      <c r="B53" s="22" t="s">
        <v>445</v>
      </c>
    </row>
    <row r="54" spans="2:14" x14ac:dyDescent="0.25">
      <c r="B54" s="22" t="s">
        <v>458</v>
      </c>
    </row>
    <row r="55" spans="2:14" x14ac:dyDescent="0.25">
      <c r="B55" s="22" t="s">
        <v>422</v>
      </c>
      <c r="C55" s="28"/>
      <c r="D55" s="28"/>
      <c r="E55" s="28"/>
      <c r="F55" s="28"/>
      <c r="G55" s="28"/>
      <c r="H55" s="28"/>
      <c r="I55" s="109"/>
      <c r="J55" s="28"/>
    </row>
    <row r="56" spans="2:14" x14ac:dyDescent="0.25">
      <c r="B56" s="22" t="s">
        <v>446</v>
      </c>
    </row>
    <row r="58" spans="2:14" x14ac:dyDescent="0.25">
      <c r="B58" s="41" t="s">
        <v>154</v>
      </c>
      <c r="C58" s="41"/>
      <c r="D58" s="41"/>
      <c r="E58" s="41"/>
      <c r="F58" s="41"/>
      <c r="G58" s="41"/>
      <c r="H58" s="41"/>
      <c r="I58" s="41"/>
      <c r="J58" s="41"/>
      <c r="K58" s="41"/>
    </row>
    <row r="59" spans="2:14" x14ac:dyDescent="0.25">
      <c r="B59" s="41" t="s">
        <v>155</v>
      </c>
      <c r="C59" s="41"/>
      <c r="D59" s="41"/>
      <c r="E59" s="41"/>
      <c r="F59" s="41"/>
      <c r="G59" s="41"/>
      <c r="H59" s="41"/>
      <c r="I59" s="41"/>
      <c r="J59" s="41"/>
      <c r="K59" s="41"/>
    </row>
    <row r="60" spans="2:14" x14ac:dyDescent="0.25">
      <c r="B60" s="22" t="s">
        <v>157</v>
      </c>
      <c r="C60" s="28"/>
      <c r="D60" s="28"/>
      <c r="E60" s="28"/>
      <c r="F60" s="28"/>
      <c r="G60" s="28"/>
      <c r="H60" s="109"/>
      <c r="I60" s="28"/>
      <c r="J60" s="41"/>
      <c r="K60" s="28"/>
    </row>
  </sheetData>
  <mergeCells count="1">
    <mergeCell ref="I29:O29"/>
  </mergeCells>
  <pageMargins left="0.7" right="0.7" top="0.75" bottom="0.75" header="0.3" footer="0.3"/>
  <pageSetup scale="64" orientation="landscape" r:id="rId1"/>
  <drawing r:id="rId2"/>
  <legacyDrawing r:id="rId3"/>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3">
    <pageSetUpPr fitToPage="1"/>
  </sheetPr>
  <dimension ref="A6:S60"/>
  <sheetViews>
    <sheetView zoomScale="90" zoomScaleNormal="90" workbookViewId="0"/>
  </sheetViews>
  <sheetFormatPr defaultRowHeight="15" x14ac:dyDescent="0.25"/>
  <cols>
    <col min="1" max="1" width="7.140625" customWidth="1"/>
    <col min="2" max="2" width="11.140625" customWidth="1"/>
    <col min="3" max="3" width="6.42578125" customWidth="1"/>
    <col min="4" max="4" width="8.85546875" customWidth="1"/>
    <col min="5" max="5" width="8.140625" customWidth="1"/>
    <col min="6" max="6" width="8.85546875" customWidth="1"/>
    <col min="7" max="7" width="9.140625" customWidth="1"/>
    <col min="8" max="8" width="9.42578125" customWidth="1"/>
    <col min="10" max="10" width="7.7109375" customWidth="1"/>
    <col min="12" max="12" width="7.5703125" customWidth="1"/>
    <col min="13" max="13" width="6.7109375" customWidth="1"/>
    <col min="14" max="14" width="10.28515625" customWidth="1"/>
  </cols>
  <sheetData>
    <row r="6" spans="1:15" x14ac:dyDescent="0.25">
      <c r="A6" s="7" t="s">
        <v>12</v>
      </c>
      <c r="B6" s="28"/>
      <c r="C6" s="28"/>
      <c r="D6" s="28"/>
      <c r="E6" s="28"/>
      <c r="F6" s="28"/>
      <c r="G6" s="28"/>
      <c r="H6" s="28"/>
      <c r="I6" s="109"/>
      <c r="J6" s="28"/>
      <c r="K6" s="28"/>
      <c r="L6" s="28"/>
      <c r="M6" s="28"/>
      <c r="N6" s="28"/>
      <c r="O6" s="28"/>
    </row>
    <row r="7" spans="1:15" x14ac:dyDescent="0.25">
      <c r="A7" s="30" t="s">
        <v>13</v>
      </c>
      <c r="B7" s="30">
        <v>41135</v>
      </c>
    </row>
    <row r="8" spans="1:15" x14ac:dyDescent="0.25">
      <c r="A8" s="28" t="s">
        <v>14</v>
      </c>
      <c r="B8" s="28">
        <v>36</v>
      </c>
      <c r="C8" s="28" t="s">
        <v>413</v>
      </c>
      <c r="D8" s="28"/>
      <c r="E8" s="28"/>
      <c r="F8" s="28"/>
      <c r="G8" s="28"/>
      <c r="H8" s="28"/>
      <c r="I8" s="109"/>
      <c r="J8" s="28"/>
      <c r="K8" s="28" t="s">
        <v>34</v>
      </c>
      <c r="L8" s="28" t="s">
        <v>34</v>
      </c>
      <c r="M8" s="28"/>
      <c r="N8" s="28"/>
    </row>
    <row r="9" spans="1:15" x14ac:dyDescent="0.25">
      <c r="A9" s="28" t="s">
        <v>15</v>
      </c>
      <c r="B9" s="28" t="s">
        <v>395</v>
      </c>
      <c r="C9" s="28" t="s">
        <v>298</v>
      </c>
      <c r="D9" s="28"/>
      <c r="E9" s="28"/>
      <c r="F9" s="28"/>
      <c r="G9" s="28"/>
      <c r="H9" s="28"/>
      <c r="I9" s="109"/>
      <c r="J9" s="28"/>
      <c r="K9" s="28"/>
      <c r="L9" s="28"/>
      <c r="M9" s="28"/>
      <c r="N9" s="28"/>
    </row>
    <row r="10" spans="1:15" x14ac:dyDescent="0.25">
      <c r="A10" s="28" t="s">
        <v>16</v>
      </c>
      <c r="B10">
        <v>2000</v>
      </c>
      <c r="C10" s="31" t="s">
        <v>195</v>
      </c>
      <c r="D10" s="28"/>
      <c r="E10" s="28"/>
      <c r="F10" s="28"/>
      <c r="G10" s="28"/>
      <c r="H10" s="28"/>
      <c r="I10" s="109" t="s">
        <v>34</v>
      </c>
      <c r="J10" s="28" t="s">
        <v>34</v>
      </c>
      <c r="K10" s="28" t="s">
        <v>34</v>
      </c>
      <c r="L10" s="28" t="s">
        <v>34</v>
      </c>
      <c r="M10" s="28" t="s">
        <v>34</v>
      </c>
      <c r="N10" s="28" t="s">
        <v>34</v>
      </c>
    </row>
    <row r="11" spans="1:15" x14ac:dyDescent="0.25">
      <c r="A11" s="28"/>
      <c r="B11" s="243">
        <v>200000000</v>
      </c>
      <c r="C11" s="31" t="s">
        <v>58</v>
      </c>
      <c r="D11" s="28"/>
      <c r="E11" s="28"/>
      <c r="F11" s="28"/>
      <c r="G11" s="28"/>
      <c r="H11" s="28"/>
      <c r="I11" s="109"/>
      <c r="J11" s="28"/>
      <c r="K11" s="28" t="s">
        <v>34</v>
      </c>
      <c r="L11" s="28"/>
      <c r="M11" s="28"/>
      <c r="N11" s="28"/>
    </row>
    <row r="12" spans="1:15" x14ac:dyDescent="0.25">
      <c r="A12" s="28"/>
      <c r="B12">
        <v>95</v>
      </c>
      <c r="C12" s="31" t="s">
        <v>44</v>
      </c>
      <c r="D12" s="28"/>
      <c r="E12" s="28"/>
      <c r="F12" s="28"/>
      <c r="G12" s="28"/>
      <c r="H12" s="28"/>
      <c r="I12" s="109"/>
      <c r="J12" s="28"/>
      <c r="K12" s="28"/>
      <c r="L12" s="28"/>
      <c r="M12" s="28"/>
      <c r="N12" s="28"/>
    </row>
    <row r="13" spans="1:15" x14ac:dyDescent="0.25">
      <c r="A13" s="28"/>
      <c r="B13" s="244">
        <v>6</v>
      </c>
      <c r="C13" s="28" t="s">
        <v>697</v>
      </c>
      <c r="D13" s="28"/>
      <c r="E13" s="28"/>
      <c r="F13" s="28"/>
      <c r="G13" s="28"/>
      <c r="H13" s="28"/>
      <c r="I13" s="285"/>
      <c r="J13" s="28"/>
      <c r="K13" s="28"/>
      <c r="L13" s="28"/>
      <c r="M13" s="28"/>
      <c r="N13" s="28"/>
    </row>
    <row r="14" spans="1:15" x14ac:dyDescent="0.25">
      <c r="A14" s="28"/>
      <c r="B14" s="244">
        <v>100</v>
      </c>
      <c r="C14" s="87" t="s">
        <v>696</v>
      </c>
      <c r="D14" s="28"/>
      <c r="E14" s="28"/>
      <c r="F14" s="28"/>
      <c r="G14" s="28"/>
      <c r="H14" s="28"/>
      <c r="I14" s="285"/>
      <c r="J14" s="28"/>
      <c r="K14" s="28"/>
      <c r="L14" s="28"/>
      <c r="M14" s="28"/>
      <c r="N14" s="28"/>
    </row>
    <row r="15" spans="1:15" x14ac:dyDescent="0.25">
      <c r="A15" s="28"/>
      <c r="B15" s="244">
        <v>0</v>
      </c>
      <c r="C15" s="87" t="s">
        <v>698</v>
      </c>
      <c r="D15" s="28"/>
      <c r="E15" s="28"/>
      <c r="F15" s="28"/>
      <c r="G15" s="28"/>
      <c r="H15" s="28"/>
      <c r="I15" s="285"/>
      <c r="J15" s="28"/>
      <c r="K15" s="28"/>
      <c r="L15" s="28"/>
      <c r="M15" s="28"/>
      <c r="N15" s="28"/>
    </row>
    <row r="16" spans="1:15" x14ac:dyDescent="0.25">
      <c r="A16" s="28"/>
      <c r="B16" s="245">
        <f>(B12*B13/100*1000)/(B10+B12-B14+B15)*1000</f>
        <v>2857.1428571428573</v>
      </c>
      <c r="C16" s="28" t="s">
        <v>700</v>
      </c>
      <c r="D16" s="28"/>
      <c r="E16" s="28"/>
      <c r="F16" s="28"/>
      <c r="G16" s="28"/>
      <c r="H16" s="28"/>
      <c r="I16" s="285"/>
      <c r="J16" s="28"/>
      <c r="K16" s="28"/>
      <c r="L16" s="28"/>
      <c r="M16" s="28"/>
      <c r="N16" s="28"/>
    </row>
    <row r="17" spans="1:19" ht="15.75" thickBot="1" x14ac:dyDescent="0.3">
      <c r="A17" s="28"/>
      <c r="C17" s="87" t="s">
        <v>711</v>
      </c>
      <c r="D17" s="28"/>
      <c r="E17" s="28"/>
      <c r="F17" s="28"/>
      <c r="G17" s="28"/>
      <c r="H17" s="28"/>
      <c r="I17" s="109"/>
      <c r="J17" s="28"/>
      <c r="K17" s="28"/>
      <c r="L17" s="28"/>
      <c r="M17" s="28"/>
      <c r="N17" s="28"/>
    </row>
    <row r="18" spans="1:19" ht="90" thickBot="1" x14ac:dyDescent="0.3">
      <c r="A18" s="10" t="s">
        <v>29</v>
      </c>
      <c r="B18" s="11" t="s">
        <v>17</v>
      </c>
      <c r="C18" s="11" t="s">
        <v>30</v>
      </c>
      <c r="D18" s="11" t="s">
        <v>31</v>
      </c>
      <c r="E18" s="11" t="s">
        <v>32</v>
      </c>
      <c r="F18" s="11" t="s">
        <v>33</v>
      </c>
      <c r="G18" s="11" t="s">
        <v>202</v>
      </c>
      <c r="H18" s="11" t="s">
        <v>19</v>
      </c>
      <c r="I18" s="12" t="s">
        <v>20</v>
      </c>
      <c r="J18" s="11" t="s">
        <v>21</v>
      </c>
      <c r="K18" s="13" t="s">
        <v>22</v>
      </c>
      <c r="L18" s="11" t="s">
        <v>21</v>
      </c>
      <c r="M18" s="14" t="s">
        <v>23</v>
      </c>
      <c r="N18" s="14" t="s">
        <v>24</v>
      </c>
      <c r="O18" s="14" t="s">
        <v>25</v>
      </c>
      <c r="P18" s="14" t="s">
        <v>678</v>
      </c>
      <c r="Q18" s="14" t="s">
        <v>681</v>
      </c>
      <c r="R18" s="14" t="s">
        <v>897</v>
      </c>
      <c r="S18" s="14" t="s">
        <v>729</v>
      </c>
    </row>
    <row r="19" spans="1:19" ht="15.75" thickBot="1" x14ac:dyDescent="0.3">
      <c r="A19" s="32">
        <v>0</v>
      </c>
      <c r="B19" s="91">
        <v>20.399999999999999</v>
      </c>
      <c r="C19" s="105">
        <v>9.33</v>
      </c>
      <c r="D19" s="105">
        <v>9.15</v>
      </c>
      <c r="E19" s="91">
        <v>0.77</v>
      </c>
      <c r="F19" s="91">
        <v>0.21</v>
      </c>
      <c r="G19" s="91">
        <v>489</v>
      </c>
      <c r="H19" s="91">
        <v>3740</v>
      </c>
      <c r="I19" s="98">
        <v>110000000</v>
      </c>
      <c r="J19" s="125">
        <f>LOG(I$19)-LOG(I19)</f>
        <v>0</v>
      </c>
      <c r="K19" s="98">
        <v>740000000</v>
      </c>
      <c r="L19" s="91" t="s">
        <v>26</v>
      </c>
      <c r="M19" s="34"/>
      <c r="N19" s="34"/>
      <c r="O19" s="99"/>
      <c r="P19" s="233">
        <f>B$16*A19</f>
        <v>0</v>
      </c>
      <c r="Q19" s="233">
        <f>6/LINEST($J19:$J20,$P19:$P20,FALSE)</f>
        <v>16761.45126053159</v>
      </c>
      <c r="R19" s="249">
        <f>Q19/3000</f>
        <v>5.5871504201771964</v>
      </c>
      <c r="S19" s="249">
        <f>(J27/LINEST($J19:$J20,$P19:$P20,FALSE))/$B$16</f>
        <v>7.8220105882480766</v>
      </c>
    </row>
    <row r="20" spans="1:19" ht="15.75" thickBot="1" x14ac:dyDescent="0.3">
      <c r="A20" s="32">
        <v>3</v>
      </c>
      <c r="B20" s="58">
        <v>19.899999999999999</v>
      </c>
      <c r="C20" s="100">
        <v>9.34</v>
      </c>
      <c r="D20" s="100">
        <v>9.9700000000000006</v>
      </c>
      <c r="E20" s="58">
        <v>2100</v>
      </c>
      <c r="F20" s="58">
        <v>0.3</v>
      </c>
      <c r="G20" s="58">
        <v>443</v>
      </c>
      <c r="H20" s="58">
        <v>3600</v>
      </c>
      <c r="I20" s="98">
        <v>94000</v>
      </c>
      <c r="J20" s="125">
        <f>LOG(I$19)-LOG(I20)</f>
        <v>3.068264831558527</v>
      </c>
      <c r="K20" s="98">
        <v>12000</v>
      </c>
      <c r="L20" s="50">
        <f>LOG(K19) - LOG(K20)</f>
        <v>4.7900504736833511</v>
      </c>
      <c r="M20" s="99"/>
      <c r="N20" s="99"/>
      <c r="O20" s="99"/>
      <c r="P20" s="233">
        <f>B$16*A20</f>
        <v>8571.4285714285725</v>
      </c>
      <c r="Q20" s="225"/>
    </row>
    <row r="21" spans="1:19" ht="15.75" thickBot="1" x14ac:dyDescent="0.3">
      <c r="A21" s="32">
        <v>5</v>
      </c>
      <c r="B21" s="103">
        <v>19.600000000000001</v>
      </c>
      <c r="C21" s="100">
        <v>9.34</v>
      </c>
      <c r="D21" s="100">
        <v>9.99</v>
      </c>
      <c r="E21" s="58">
        <v>2400</v>
      </c>
      <c r="F21" s="58">
        <v>0.26</v>
      </c>
      <c r="G21" s="58">
        <v>455</v>
      </c>
      <c r="H21" s="58"/>
      <c r="I21" s="98">
        <v>0</v>
      </c>
      <c r="J21" s="58" t="s">
        <v>410</v>
      </c>
      <c r="K21" s="98">
        <v>0</v>
      </c>
      <c r="L21" s="58" t="s">
        <v>409</v>
      </c>
      <c r="M21" s="99"/>
      <c r="N21" s="99"/>
      <c r="O21" s="99"/>
      <c r="P21" s="233">
        <f>B$16*A21</f>
        <v>14285.714285714286</v>
      </c>
    </row>
    <row r="22" spans="1:19" ht="15.75" thickBot="1" x14ac:dyDescent="0.3">
      <c r="A22" s="32">
        <v>10</v>
      </c>
      <c r="B22" s="58">
        <v>19.600000000000001</v>
      </c>
      <c r="C22" s="100">
        <v>9.32</v>
      </c>
      <c r="D22" s="100">
        <v>10</v>
      </c>
      <c r="E22" s="58">
        <v>2200</v>
      </c>
      <c r="F22" s="58">
        <v>0.41</v>
      </c>
      <c r="G22" s="58">
        <v>460</v>
      </c>
      <c r="H22" s="58"/>
      <c r="I22" s="98">
        <v>0</v>
      </c>
      <c r="J22" s="58" t="s">
        <v>410</v>
      </c>
      <c r="K22" s="98">
        <v>0</v>
      </c>
      <c r="L22" s="58" t="s">
        <v>409</v>
      </c>
      <c r="M22" s="99"/>
      <c r="N22" s="99"/>
      <c r="O22" s="99"/>
      <c r="P22" s="233">
        <f>B$16*A22</f>
        <v>28571.428571428572</v>
      </c>
    </row>
    <row r="23" spans="1:19" ht="15.75" thickBot="1" x14ac:dyDescent="0.3">
      <c r="A23" s="32">
        <v>15</v>
      </c>
      <c r="B23" s="58">
        <v>19.2</v>
      </c>
      <c r="C23" s="100">
        <v>9.31</v>
      </c>
      <c r="D23" s="100">
        <v>10</v>
      </c>
      <c r="E23" s="58">
        <v>2000</v>
      </c>
      <c r="F23" s="58">
        <v>0.21</v>
      </c>
      <c r="G23" s="58">
        <v>449</v>
      </c>
      <c r="H23" s="58"/>
      <c r="I23" s="98">
        <v>0</v>
      </c>
      <c r="J23" s="58" t="s">
        <v>410</v>
      </c>
      <c r="K23" s="98">
        <v>0</v>
      </c>
      <c r="L23" s="58" t="s">
        <v>409</v>
      </c>
      <c r="M23" s="99"/>
      <c r="N23" s="99"/>
      <c r="O23" s="99"/>
      <c r="P23" s="233"/>
    </row>
    <row r="24" spans="1:19" ht="15.75" thickBot="1" x14ac:dyDescent="0.3">
      <c r="A24" s="32">
        <v>30</v>
      </c>
      <c r="B24" s="58">
        <v>19.5</v>
      </c>
      <c r="C24" s="100">
        <v>9.2799999999999994</v>
      </c>
      <c r="D24" s="100">
        <v>10.01</v>
      </c>
      <c r="E24" s="58">
        <v>2300</v>
      </c>
      <c r="F24" s="100">
        <v>0.56999999999999995</v>
      </c>
      <c r="G24" s="58">
        <v>464</v>
      </c>
      <c r="H24" s="58"/>
      <c r="I24" s="98">
        <v>0</v>
      </c>
      <c r="J24" s="58" t="s">
        <v>410</v>
      </c>
      <c r="K24" s="98">
        <v>0</v>
      </c>
      <c r="L24" s="58" t="s">
        <v>409</v>
      </c>
      <c r="M24" s="60"/>
      <c r="N24" s="60"/>
      <c r="O24" s="99"/>
      <c r="P24" s="233"/>
    </row>
    <row r="25" spans="1:19" ht="15.75" thickBot="1" x14ac:dyDescent="0.3">
      <c r="A25" s="32">
        <v>60</v>
      </c>
      <c r="B25" s="58">
        <v>20.399999999999999</v>
      </c>
      <c r="C25" s="100">
        <v>9.23</v>
      </c>
      <c r="D25" s="100">
        <v>10.01</v>
      </c>
      <c r="E25" s="58">
        <v>2300</v>
      </c>
      <c r="F25" s="58">
        <v>0.33</v>
      </c>
      <c r="G25" s="58">
        <v>456</v>
      </c>
      <c r="H25" s="58">
        <v>3420</v>
      </c>
      <c r="I25" s="98">
        <v>0</v>
      </c>
      <c r="J25" s="58" t="s">
        <v>410</v>
      </c>
      <c r="K25" s="98">
        <v>0</v>
      </c>
      <c r="L25" s="58" t="s">
        <v>409</v>
      </c>
      <c r="M25" s="60">
        <v>170</v>
      </c>
      <c r="N25" s="60">
        <v>15018</v>
      </c>
      <c r="O25" s="89">
        <v>5400</v>
      </c>
      <c r="P25" s="233"/>
    </row>
    <row r="26" spans="1:19" ht="15.75" thickBot="1" x14ac:dyDescent="0.3">
      <c r="A26" s="36" t="s">
        <v>242</v>
      </c>
      <c r="B26" s="60">
        <v>20.399999999999999</v>
      </c>
      <c r="C26" s="104">
        <v>9.24</v>
      </c>
      <c r="D26" s="104">
        <v>9.99</v>
      </c>
      <c r="E26" s="60">
        <v>2200</v>
      </c>
      <c r="F26" s="60">
        <v>0.31</v>
      </c>
      <c r="G26" s="60">
        <v>454</v>
      </c>
      <c r="H26" s="60">
        <v>3800</v>
      </c>
      <c r="I26" s="98">
        <v>0</v>
      </c>
      <c r="J26" s="58" t="s">
        <v>410</v>
      </c>
      <c r="K26" s="98">
        <v>0</v>
      </c>
      <c r="L26" s="58" t="s">
        <v>409</v>
      </c>
      <c r="M26" s="60">
        <v>178</v>
      </c>
      <c r="N26" s="60">
        <v>14600</v>
      </c>
      <c r="O26" s="99"/>
    </row>
    <row r="27" spans="1:19" x14ac:dyDescent="0.25">
      <c r="A27" s="92"/>
      <c r="B27" s="92">
        <v>19.899999999999999</v>
      </c>
      <c r="C27" s="92">
        <v>9.34</v>
      </c>
      <c r="D27" s="92"/>
      <c r="E27" s="92"/>
      <c r="F27" s="92"/>
      <c r="G27" s="92"/>
      <c r="H27" s="92"/>
      <c r="I27" s="106"/>
      <c r="J27" s="92">
        <v>8</v>
      </c>
      <c r="K27" s="106"/>
      <c r="L27" s="92"/>
      <c r="M27" s="92"/>
      <c r="N27" s="92"/>
      <c r="O27" s="108"/>
    </row>
    <row r="28" spans="1:19" x14ac:dyDescent="0.25">
      <c r="A28" s="28" t="s">
        <v>140</v>
      </c>
      <c r="B28" s="28"/>
      <c r="C28" s="28"/>
      <c r="D28" s="28"/>
      <c r="E28" s="28"/>
      <c r="F28" s="28"/>
      <c r="G28" s="28"/>
      <c r="H28" s="28"/>
      <c r="I28" s="109"/>
      <c r="J28" s="28"/>
      <c r="K28" s="28"/>
      <c r="L28" s="28"/>
      <c r="M28" s="28"/>
      <c r="N28" s="28"/>
    </row>
    <row r="29" spans="1:19" x14ac:dyDescent="0.25">
      <c r="A29" s="28"/>
      <c r="B29" s="28" t="s">
        <v>141</v>
      </c>
      <c r="C29" s="28"/>
      <c r="D29" s="28"/>
      <c r="E29" s="28"/>
      <c r="F29" s="28"/>
      <c r="G29" s="28"/>
      <c r="H29" s="28"/>
      <c r="I29" s="109"/>
      <c r="J29" s="28"/>
      <c r="K29" s="28" t="s">
        <v>34</v>
      </c>
      <c r="L29" s="28" t="s">
        <v>34</v>
      </c>
      <c r="M29" s="28" t="s">
        <v>34</v>
      </c>
      <c r="N29" s="28" t="s">
        <v>34</v>
      </c>
    </row>
    <row r="30" spans="1:19" x14ac:dyDescent="0.25">
      <c r="A30" s="28" t="s">
        <v>272</v>
      </c>
      <c r="B30" s="28"/>
      <c r="C30" s="28"/>
      <c r="D30" s="28"/>
      <c r="E30" s="28"/>
      <c r="F30" s="28"/>
      <c r="G30" s="28"/>
      <c r="H30" s="28"/>
      <c r="I30" s="109"/>
      <c r="J30" s="28"/>
      <c r="K30" s="28" t="s">
        <v>34</v>
      </c>
      <c r="L30" s="28" t="s">
        <v>34</v>
      </c>
      <c r="M30" s="28"/>
      <c r="N30" s="28"/>
    </row>
    <row r="31" spans="1:19" x14ac:dyDescent="0.25">
      <c r="A31" s="59"/>
      <c r="F31" s="28"/>
      <c r="G31" s="28"/>
      <c r="H31" s="28"/>
      <c r="I31" s="109"/>
      <c r="J31" s="28"/>
      <c r="K31" s="28" t="s">
        <v>34</v>
      </c>
      <c r="L31" s="28" t="s">
        <v>34</v>
      </c>
      <c r="M31" s="28" t="s">
        <v>34</v>
      </c>
      <c r="N31" s="28"/>
    </row>
    <row r="32" spans="1:19" x14ac:dyDescent="0.25">
      <c r="A32" s="19" t="s">
        <v>28</v>
      </c>
      <c r="B32" s="28"/>
      <c r="C32" s="28"/>
      <c r="D32" s="28"/>
      <c r="E32" s="28"/>
      <c r="F32" s="28"/>
      <c r="G32" s="28"/>
      <c r="H32" s="28"/>
      <c r="I32" s="109"/>
      <c r="J32" s="28"/>
      <c r="K32" s="28" t="s">
        <v>34</v>
      </c>
      <c r="L32" s="28" t="s">
        <v>34</v>
      </c>
      <c r="M32" s="28" t="s">
        <v>34</v>
      </c>
      <c r="N32" s="28"/>
    </row>
    <row r="33" spans="1:14" x14ac:dyDescent="0.25">
      <c r="A33" s="28"/>
      <c r="B33" s="22"/>
      <c r="C33" s="28"/>
      <c r="D33" s="28"/>
      <c r="E33" s="28"/>
      <c r="F33" s="28"/>
      <c r="G33" s="28"/>
      <c r="H33" s="28"/>
      <c r="I33" s="109"/>
      <c r="J33" s="28"/>
      <c r="K33" s="28"/>
      <c r="L33" s="28" t="s">
        <v>34</v>
      </c>
      <c r="M33" s="28" t="s">
        <v>34</v>
      </c>
      <c r="N33" s="28"/>
    </row>
    <row r="34" spans="1:14" x14ac:dyDescent="0.25">
      <c r="A34" s="28"/>
      <c r="B34" s="41" t="s">
        <v>434</v>
      </c>
      <c r="C34" s="41"/>
      <c r="D34" s="41"/>
      <c r="E34" s="41"/>
      <c r="F34" s="41"/>
      <c r="G34" s="41"/>
      <c r="H34" s="41"/>
      <c r="I34" s="41"/>
      <c r="J34" s="41"/>
      <c r="K34" s="41"/>
      <c r="L34" s="41" t="s">
        <v>34</v>
      </c>
      <c r="M34" s="28"/>
      <c r="N34" s="28"/>
    </row>
    <row r="35" spans="1:14" x14ac:dyDescent="0.25">
      <c r="A35" s="28"/>
      <c r="B35" s="41"/>
      <c r="C35" s="41"/>
      <c r="D35" s="41"/>
      <c r="E35" s="41"/>
      <c r="F35" s="41"/>
      <c r="G35" s="41"/>
      <c r="H35" s="41"/>
      <c r="I35" s="41"/>
      <c r="J35" s="41"/>
      <c r="K35" s="41"/>
      <c r="L35" s="41"/>
      <c r="M35" s="28"/>
      <c r="N35" s="28"/>
    </row>
    <row r="36" spans="1:14" x14ac:dyDescent="0.25">
      <c r="A36" s="28"/>
      <c r="B36" s="22" t="s">
        <v>146</v>
      </c>
      <c r="C36" s="28"/>
      <c r="D36" s="28"/>
      <c r="E36" s="28"/>
      <c r="F36" s="28"/>
      <c r="G36" s="28"/>
      <c r="H36" s="28"/>
      <c r="I36" s="109"/>
      <c r="J36" s="28"/>
      <c r="K36" s="28"/>
      <c r="L36" s="28"/>
      <c r="M36" s="28" t="s">
        <v>34</v>
      </c>
      <c r="N36" s="28"/>
    </row>
    <row r="37" spans="1:14" x14ac:dyDescent="0.25">
      <c r="A37" s="28"/>
      <c r="B37" s="41" t="s">
        <v>432</v>
      </c>
      <c r="C37" s="41"/>
      <c r="D37" s="41"/>
      <c r="E37" s="41"/>
      <c r="F37" s="41"/>
      <c r="G37" s="41"/>
      <c r="H37" s="41"/>
      <c r="I37" s="41"/>
      <c r="J37" s="41"/>
      <c r="K37" s="41"/>
      <c r="L37" s="41"/>
      <c r="M37" s="28"/>
      <c r="N37" s="28"/>
    </row>
    <row r="38" spans="1:14" x14ac:dyDescent="0.25">
      <c r="A38" s="28"/>
      <c r="B38" s="41" t="s">
        <v>303</v>
      </c>
      <c r="C38" s="41"/>
      <c r="D38" s="41"/>
      <c r="E38" s="41"/>
      <c r="F38" s="41"/>
      <c r="G38" s="41"/>
      <c r="H38" s="41"/>
      <c r="I38" s="41"/>
      <c r="J38" s="41"/>
      <c r="K38" s="41"/>
      <c r="L38" s="41"/>
      <c r="M38" s="28"/>
      <c r="N38" s="28"/>
    </row>
    <row r="39" spans="1:14" x14ac:dyDescent="0.25">
      <c r="A39" s="28"/>
      <c r="B39" s="41" t="s">
        <v>304</v>
      </c>
      <c r="M39" s="28"/>
      <c r="N39" s="28"/>
    </row>
    <row r="40" spans="1:14" x14ac:dyDescent="0.25">
      <c r="A40" s="28"/>
      <c r="B40" s="41"/>
      <c r="M40" s="28"/>
      <c r="N40" s="28"/>
    </row>
    <row r="41" spans="1:14" x14ac:dyDescent="0.25">
      <c r="A41" s="28"/>
      <c r="B41" s="69" t="s">
        <v>156</v>
      </c>
      <c r="C41" s="87"/>
      <c r="D41" s="87"/>
      <c r="E41" s="87"/>
      <c r="F41" s="87"/>
      <c r="G41" s="87"/>
      <c r="H41" s="87"/>
      <c r="I41" s="88"/>
      <c r="J41" s="87"/>
      <c r="K41" s="87"/>
      <c r="L41" s="28"/>
      <c r="N41" s="28"/>
    </row>
    <row r="42" spans="1:14" x14ac:dyDescent="0.25">
      <c r="A42" s="28"/>
      <c r="B42" s="41" t="s">
        <v>342</v>
      </c>
      <c r="C42" s="41"/>
      <c r="D42" s="41"/>
      <c r="E42" s="41"/>
      <c r="F42" s="41"/>
      <c r="G42" s="41"/>
      <c r="H42" s="41"/>
      <c r="I42" s="41"/>
      <c r="J42" s="41"/>
      <c r="K42" s="41"/>
      <c r="L42" s="41"/>
      <c r="N42" s="28"/>
    </row>
    <row r="43" spans="1:14" x14ac:dyDescent="0.25">
      <c r="A43" s="28"/>
      <c r="B43" s="41"/>
      <c r="C43" s="41"/>
      <c r="D43" s="41"/>
      <c r="E43" s="41"/>
      <c r="F43" s="41"/>
      <c r="G43" s="41"/>
      <c r="H43" s="41"/>
      <c r="I43" s="41"/>
      <c r="J43" s="41"/>
      <c r="K43" s="41"/>
      <c r="L43" s="41"/>
      <c r="N43" s="28"/>
    </row>
    <row r="44" spans="1:14" x14ac:dyDescent="0.25">
      <c r="A44" s="28"/>
      <c r="B44" s="75" t="s">
        <v>36</v>
      </c>
      <c r="C44" s="28"/>
      <c r="D44" s="28"/>
      <c r="E44" s="28"/>
      <c r="F44" s="28"/>
      <c r="G44" s="28"/>
      <c r="H44" s="28"/>
      <c r="I44" s="109"/>
      <c r="J44" s="28"/>
      <c r="K44" s="28"/>
      <c r="M44" s="28"/>
      <c r="N44" s="28"/>
    </row>
    <row r="45" spans="1:14" x14ac:dyDescent="0.25">
      <c r="A45" s="28"/>
      <c r="B45" s="22" t="s">
        <v>392</v>
      </c>
      <c r="M45" s="28"/>
      <c r="N45" s="28"/>
    </row>
    <row r="46" spans="1:14" x14ac:dyDescent="0.25">
      <c r="A46" s="28"/>
      <c r="B46" s="22"/>
      <c r="M46" s="28"/>
      <c r="N46" s="28"/>
    </row>
    <row r="47" spans="1:14" x14ac:dyDescent="0.25">
      <c r="B47" s="22" t="s">
        <v>435</v>
      </c>
    </row>
    <row r="48" spans="1:14" x14ac:dyDescent="0.25">
      <c r="B48" s="41" t="s">
        <v>403</v>
      </c>
      <c r="L48" s="28"/>
    </row>
    <row r="49" spans="2:14" x14ac:dyDescent="0.25">
      <c r="B49" s="41"/>
      <c r="L49" s="28"/>
    </row>
    <row r="50" spans="2:14" x14ac:dyDescent="0.25">
      <c r="B50" s="428" t="s">
        <v>433</v>
      </c>
      <c r="C50" s="428"/>
      <c r="D50" s="428"/>
      <c r="E50" s="428"/>
      <c r="F50" s="428"/>
      <c r="G50" s="428"/>
      <c r="H50" s="428"/>
      <c r="I50" s="428"/>
      <c r="J50" s="428"/>
      <c r="K50" s="428"/>
      <c r="L50" s="428"/>
      <c r="M50" s="428"/>
      <c r="N50" s="428"/>
    </row>
    <row r="51" spans="2:14" x14ac:dyDescent="0.25">
      <c r="B51" s="110"/>
      <c r="C51" s="110"/>
      <c r="D51" s="110"/>
      <c r="E51" s="110"/>
      <c r="F51" s="110"/>
      <c r="G51" s="110"/>
      <c r="H51" s="110"/>
      <c r="I51" s="110"/>
      <c r="J51" s="110"/>
      <c r="K51" s="110"/>
      <c r="L51" s="110"/>
      <c r="M51" s="110"/>
      <c r="N51" s="110"/>
    </row>
    <row r="52" spans="2:14" x14ac:dyDescent="0.25">
      <c r="B52" s="41" t="s">
        <v>306</v>
      </c>
      <c r="C52" s="64"/>
      <c r="D52" s="64"/>
      <c r="E52" s="64"/>
      <c r="F52" s="64"/>
      <c r="G52" s="64"/>
      <c r="H52" s="64"/>
      <c r="I52" s="64"/>
      <c r="J52" s="64"/>
      <c r="K52" s="64"/>
      <c r="L52" s="65"/>
    </row>
    <row r="53" spans="2:14" x14ac:dyDescent="0.25">
      <c r="B53" s="22" t="s">
        <v>444</v>
      </c>
    </row>
    <row r="54" spans="2:14" x14ac:dyDescent="0.25">
      <c r="B54" s="22" t="s">
        <v>458</v>
      </c>
    </row>
    <row r="55" spans="2:14" x14ac:dyDescent="0.25">
      <c r="B55" s="22" t="s">
        <v>422</v>
      </c>
      <c r="C55" s="28"/>
      <c r="D55" s="28"/>
      <c r="E55" s="28"/>
      <c r="F55" s="28"/>
      <c r="G55" s="28"/>
      <c r="H55" s="28"/>
      <c r="I55" s="109"/>
      <c r="J55" s="28"/>
    </row>
    <row r="56" spans="2:14" x14ac:dyDescent="0.25">
      <c r="B56" s="22" t="s">
        <v>449</v>
      </c>
    </row>
    <row r="58" spans="2:14" x14ac:dyDescent="0.25">
      <c r="B58" s="41" t="s">
        <v>154</v>
      </c>
      <c r="C58" s="41"/>
      <c r="D58" s="41"/>
      <c r="E58" s="41"/>
      <c r="F58" s="41"/>
      <c r="G58" s="41"/>
      <c r="H58" s="41"/>
      <c r="I58" s="41"/>
      <c r="J58" s="41"/>
      <c r="K58" s="41"/>
    </row>
    <row r="59" spans="2:14" x14ac:dyDescent="0.25">
      <c r="B59" s="41" t="s">
        <v>155</v>
      </c>
      <c r="C59" s="41"/>
      <c r="D59" s="41"/>
      <c r="E59" s="41"/>
      <c r="F59" s="41"/>
      <c r="G59" s="41"/>
      <c r="H59" s="41"/>
      <c r="I59" s="41"/>
      <c r="J59" s="41"/>
      <c r="K59" s="41"/>
    </row>
    <row r="60" spans="2:14" x14ac:dyDescent="0.25">
      <c r="B60" s="22" t="s">
        <v>157</v>
      </c>
      <c r="C60" s="28"/>
      <c r="D60" s="28"/>
      <c r="E60" s="28"/>
      <c r="F60" s="28"/>
      <c r="G60" s="28"/>
      <c r="H60" s="109"/>
      <c r="I60" s="28"/>
      <c r="J60" s="41"/>
      <c r="K60" s="28"/>
    </row>
  </sheetData>
  <mergeCells count="1">
    <mergeCell ref="B50:N50"/>
  </mergeCells>
  <pageMargins left="0.7" right="0.7" top="0.75" bottom="0.75" header="0.3" footer="0.3"/>
  <pageSetup scale="64"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1"/>
    <pageSetUpPr fitToPage="1"/>
  </sheetPr>
  <dimension ref="A5:U44"/>
  <sheetViews>
    <sheetView zoomScale="90" zoomScaleNormal="90" workbookViewId="0"/>
  </sheetViews>
  <sheetFormatPr defaultRowHeight="15" x14ac:dyDescent="0.25"/>
  <cols>
    <col min="2" max="2" width="10.7109375" customWidth="1"/>
  </cols>
  <sheetData>
    <row r="5" spans="1:21" x14ac:dyDescent="0.25">
      <c r="A5" s="7" t="s">
        <v>12</v>
      </c>
      <c r="B5" s="28"/>
      <c r="C5" s="28"/>
      <c r="D5" s="28"/>
      <c r="E5" s="28"/>
      <c r="F5" s="28"/>
      <c r="G5" s="28"/>
      <c r="H5" s="28"/>
      <c r="I5" s="29"/>
      <c r="J5" s="28"/>
      <c r="K5" s="28"/>
      <c r="L5" s="38"/>
      <c r="M5" s="28"/>
      <c r="N5" s="28"/>
      <c r="O5" s="28"/>
      <c r="P5" s="28"/>
    </row>
    <row r="6" spans="1:21" x14ac:dyDescent="0.25">
      <c r="A6" s="30" t="s">
        <v>13</v>
      </c>
      <c r="B6" s="30">
        <v>40876</v>
      </c>
      <c r="C6" s="28"/>
      <c r="D6" s="28"/>
      <c r="E6" s="28"/>
      <c r="F6" s="28"/>
      <c r="G6" s="28"/>
      <c r="H6" s="28"/>
      <c r="I6" s="29"/>
      <c r="J6" s="28"/>
      <c r="K6" s="28"/>
      <c r="L6" s="38"/>
      <c r="M6" s="28"/>
      <c r="N6" s="28"/>
      <c r="O6" s="28"/>
      <c r="P6" s="28"/>
    </row>
    <row r="7" spans="1:21" x14ac:dyDescent="0.25">
      <c r="A7" s="28" t="s">
        <v>14</v>
      </c>
      <c r="B7" s="28">
        <v>3</v>
      </c>
      <c r="C7" s="28" t="s">
        <v>468</v>
      </c>
      <c r="D7" s="28"/>
      <c r="E7" s="28"/>
      <c r="F7" s="28"/>
      <c r="G7" s="28" t="s">
        <v>34</v>
      </c>
      <c r="H7" s="28"/>
      <c r="I7" s="29"/>
      <c r="J7" s="28"/>
      <c r="K7" s="28"/>
      <c r="L7" s="38"/>
      <c r="M7" s="28"/>
      <c r="N7" s="28" t="s">
        <v>34</v>
      </c>
      <c r="O7" s="28" t="s">
        <v>34</v>
      </c>
      <c r="P7" s="28"/>
    </row>
    <row r="8" spans="1:21" x14ac:dyDescent="0.25">
      <c r="A8" s="8" t="s">
        <v>15</v>
      </c>
      <c r="B8" s="8">
        <v>3</v>
      </c>
      <c r="C8" s="28" t="s">
        <v>467</v>
      </c>
      <c r="D8" s="8"/>
      <c r="E8" s="8"/>
      <c r="F8" s="8"/>
      <c r="G8" s="8"/>
      <c r="H8" s="8"/>
      <c r="I8" s="25"/>
      <c r="J8" s="8"/>
      <c r="K8" s="8"/>
      <c r="L8" s="8"/>
      <c r="M8" s="8"/>
      <c r="N8" s="8"/>
      <c r="O8" s="8"/>
      <c r="P8" s="8"/>
    </row>
    <row r="9" spans="1:21" x14ac:dyDescent="0.25">
      <c r="A9" s="28" t="s">
        <v>16</v>
      </c>
      <c r="B9" s="87">
        <v>2000</v>
      </c>
      <c r="C9" s="31" t="s">
        <v>43</v>
      </c>
      <c r="D9" s="28"/>
      <c r="E9" s="28"/>
      <c r="F9" s="28"/>
      <c r="G9" s="28"/>
      <c r="H9" s="28"/>
      <c r="I9" s="29"/>
      <c r="J9" s="28"/>
      <c r="K9" s="28" t="s">
        <v>34</v>
      </c>
      <c r="L9" s="38"/>
      <c r="M9" s="28"/>
      <c r="N9" s="28"/>
      <c r="O9" s="28"/>
      <c r="P9" s="28"/>
    </row>
    <row r="10" spans="1:21" x14ac:dyDescent="0.25">
      <c r="A10" s="28"/>
      <c r="B10" s="243">
        <v>200000000</v>
      </c>
      <c r="C10" s="31" t="s">
        <v>58</v>
      </c>
      <c r="D10" s="28"/>
      <c r="E10" s="28"/>
      <c r="F10" s="28"/>
      <c r="G10" s="28"/>
      <c r="H10" s="28"/>
      <c r="I10" s="29"/>
      <c r="J10" s="28" t="s">
        <v>34</v>
      </c>
      <c r="K10" s="28" t="s">
        <v>34</v>
      </c>
      <c r="L10" s="38"/>
      <c r="M10" s="28"/>
      <c r="N10" s="28" t="s">
        <v>34</v>
      </c>
      <c r="O10" s="28" t="s">
        <v>34</v>
      </c>
      <c r="P10" s="28"/>
    </row>
    <row r="11" spans="1:21" x14ac:dyDescent="0.25">
      <c r="A11" s="28"/>
      <c r="B11" s="87">
        <v>95</v>
      </c>
      <c r="C11" s="31" t="s">
        <v>44</v>
      </c>
      <c r="D11" s="28"/>
      <c r="E11" s="28"/>
      <c r="F11" s="28"/>
      <c r="G11" s="28"/>
      <c r="H11" s="28"/>
      <c r="I11" s="29"/>
      <c r="J11" s="28"/>
      <c r="K11" s="28"/>
      <c r="L11" s="38"/>
      <c r="M11" s="28"/>
      <c r="N11" s="28"/>
      <c r="O11" s="28"/>
      <c r="P11" s="28"/>
    </row>
    <row r="12" spans="1:21" x14ac:dyDescent="0.25">
      <c r="A12" s="28"/>
      <c r="B12" s="31">
        <v>6</v>
      </c>
      <c r="C12" s="28" t="s">
        <v>697</v>
      </c>
      <c r="D12" s="28"/>
      <c r="E12" s="28"/>
      <c r="F12" s="28"/>
      <c r="G12" s="28"/>
      <c r="H12" s="28"/>
      <c r="I12" s="242"/>
      <c r="J12" s="28"/>
      <c r="K12" s="28"/>
      <c r="L12" s="38"/>
      <c r="M12" s="28"/>
      <c r="N12" s="28"/>
      <c r="O12" s="28"/>
      <c r="P12" s="28"/>
    </row>
    <row r="13" spans="1:21" x14ac:dyDescent="0.25">
      <c r="A13" s="28"/>
      <c r="B13" s="31">
        <v>100</v>
      </c>
      <c r="C13" s="87" t="s">
        <v>696</v>
      </c>
      <c r="D13" s="28"/>
      <c r="E13" s="28"/>
      <c r="F13" s="28"/>
      <c r="G13" s="28"/>
      <c r="H13" s="28"/>
      <c r="I13" s="242"/>
      <c r="J13" s="28"/>
      <c r="K13" s="28"/>
      <c r="L13" s="38"/>
      <c r="M13" s="28"/>
      <c r="N13" s="28"/>
      <c r="O13" s="28"/>
      <c r="P13" s="28"/>
      <c r="U13">
        <f>6/3000/0.0004</f>
        <v>5</v>
      </c>
    </row>
    <row r="14" spans="1:21" x14ac:dyDescent="0.25">
      <c r="A14" s="28"/>
      <c r="B14" s="31">
        <v>0</v>
      </c>
      <c r="C14" s="87" t="s">
        <v>698</v>
      </c>
      <c r="D14" s="28"/>
      <c r="E14" s="28"/>
      <c r="F14" s="28"/>
      <c r="G14" s="28"/>
      <c r="H14" s="28"/>
      <c r="I14" s="242"/>
      <c r="J14" s="28"/>
      <c r="K14" s="28"/>
      <c r="L14" s="38"/>
      <c r="M14" s="28"/>
      <c r="N14" s="28"/>
      <c r="O14" s="28"/>
      <c r="P14" s="28"/>
    </row>
    <row r="15" spans="1:21" x14ac:dyDescent="0.25">
      <c r="A15" s="28"/>
      <c r="B15" s="232">
        <f>(B11*B12/100*1000)/(B9+B11-B13+B14)*1000</f>
        <v>2857.1428571428573</v>
      </c>
      <c r="C15" s="28" t="s">
        <v>700</v>
      </c>
      <c r="D15" s="28"/>
      <c r="E15" s="28"/>
      <c r="F15" s="28"/>
      <c r="G15" s="28"/>
      <c r="H15" s="28"/>
      <c r="I15" s="242"/>
      <c r="J15" s="28"/>
      <c r="K15" s="28"/>
      <c r="L15" s="38"/>
      <c r="M15" s="28"/>
      <c r="N15" s="28"/>
      <c r="O15" s="28"/>
      <c r="P15" s="28"/>
    </row>
    <row r="16" spans="1:21" ht="15.75" thickBot="1" x14ac:dyDescent="0.3">
      <c r="A16" s="28"/>
      <c r="B16" s="28"/>
      <c r="C16" s="28" t="s">
        <v>705</v>
      </c>
      <c r="D16" s="28"/>
      <c r="E16" s="28"/>
      <c r="F16" s="28"/>
      <c r="G16" s="28"/>
      <c r="H16" s="28"/>
      <c r="I16" s="29"/>
      <c r="J16" s="28"/>
      <c r="K16" s="28"/>
      <c r="L16" s="28"/>
      <c r="M16" s="28"/>
      <c r="N16" s="28"/>
      <c r="O16" s="28"/>
      <c r="P16" s="28"/>
    </row>
    <row r="17" spans="1:19" ht="90" thickBot="1" x14ac:dyDescent="0.3">
      <c r="A17" s="10" t="s">
        <v>29</v>
      </c>
      <c r="B17" s="11" t="s">
        <v>17</v>
      </c>
      <c r="C17" s="11" t="s">
        <v>30</v>
      </c>
      <c r="D17" s="11" t="s">
        <v>31</v>
      </c>
      <c r="E17" s="11" t="s">
        <v>32</v>
      </c>
      <c r="F17" s="11" t="s">
        <v>33</v>
      </c>
      <c r="G17" s="11" t="s">
        <v>18</v>
      </c>
      <c r="H17" s="11" t="s">
        <v>19</v>
      </c>
      <c r="I17" s="12" t="s">
        <v>20</v>
      </c>
      <c r="J17" s="11" t="s">
        <v>21</v>
      </c>
      <c r="K17" s="13" t="s">
        <v>22</v>
      </c>
      <c r="L17" s="11" t="s">
        <v>21</v>
      </c>
      <c r="M17" s="14" t="s">
        <v>23</v>
      </c>
      <c r="N17" s="14" t="s">
        <v>24</v>
      </c>
      <c r="O17" s="14" t="s">
        <v>25</v>
      </c>
      <c r="P17" s="14" t="s">
        <v>678</v>
      </c>
      <c r="Q17" s="14" t="s">
        <v>681</v>
      </c>
      <c r="R17" s="14" t="s">
        <v>897</v>
      </c>
      <c r="S17" s="14" t="s">
        <v>729</v>
      </c>
    </row>
    <row r="18" spans="1:19" ht="15.75" thickBot="1" x14ac:dyDescent="0.3">
      <c r="A18" s="32">
        <v>0</v>
      </c>
      <c r="B18" s="23">
        <v>23.8</v>
      </c>
      <c r="C18" s="23">
        <v>8.76</v>
      </c>
      <c r="D18" s="23">
        <v>9.17</v>
      </c>
      <c r="E18" s="23">
        <v>1.88</v>
      </c>
      <c r="F18" s="23">
        <v>1.1599999999999999</v>
      </c>
      <c r="G18" s="23">
        <v>650</v>
      </c>
      <c r="H18" s="23">
        <v>3520</v>
      </c>
      <c r="I18" s="33">
        <v>17000000</v>
      </c>
      <c r="J18" s="23">
        <v>0</v>
      </c>
      <c r="K18" s="33">
        <v>15000000</v>
      </c>
      <c r="L18" s="23" t="s">
        <v>26</v>
      </c>
      <c r="M18" s="34"/>
      <c r="N18" s="34"/>
      <c r="O18" s="35"/>
      <c r="P18" s="233">
        <f>B$15*A18</f>
        <v>0</v>
      </c>
      <c r="Q18" s="233">
        <f>6/LINEST(J18:J20,P18:P20,FALSE)</f>
        <v>16610.348898750151</v>
      </c>
      <c r="R18" s="233">
        <f>Q18/3000</f>
        <v>5.5367829662500503</v>
      </c>
      <c r="S18" s="233">
        <f>(J25/LINEST($J18:$J20,$P18:$P20,FALSE))/$B$15</f>
        <v>7.0054146480478767</v>
      </c>
    </row>
    <row r="19" spans="1:19" ht="15.75" thickBot="1" x14ac:dyDescent="0.3">
      <c r="A19" s="32">
        <v>3</v>
      </c>
      <c r="B19" s="24">
        <v>23.8</v>
      </c>
      <c r="C19" s="24">
        <v>8.76</v>
      </c>
      <c r="D19" s="24">
        <v>9.7899999999999991</v>
      </c>
      <c r="E19" s="24">
        <v>1900</v>
      </c>
      <c r="F19" s="24">
        <v>1.34</v>
      </c>
      <c r="G19" s="24">
        <v>650</v>
      </c>
      <c r="H19" s="24">
        <v>1730</v>
      </c>
      <c r="I19" s="33">
        <v>18000</v>
      </c>
      <c r="J19" s="24">
        <v>2.98</v>
      </c>
      <c r="K19" s="24">
        <v>0</v>
      </c>
      <c r="L19" s="24" t="s">
        <v>50</v>
      </c>
      <c r="M19" s="35"/>
      <c r="N19" s="35"/>
      <c r="O19" s="35"/>
      <c r="P19" s="233">
        <f>B$15*A19</f>
        <v>8571.4285714285725</v>
      </c>
    </row>
    <row r="20" spans="1:19" ht="15.75" thickBot="1" x14ac:dyDescent="0.3">
      <c r="A20" s="32">
        <v>5</v>
      </c>
      <c r="B20" s="24">
        <v>23.9</v>
      </c>
      <c r="C20" s="24">
        <v>8.77</v>
      </c>
      <c r="D20" s="24">
        <v>9.77</v>
      </c>
      <c r="E20" s="24">
        <v>2100</v>
      </c>
      <c r="F20" s="24">
        <v>1.49</v>
      </c>
      <c r="G20" s="24">
        <v>650</v>
      </c>
      <c r="H20" s="24">
        <v>1910</v>
      </c>
      <c r="I20" s="24">
        <v>100</v>
      </c>
      <c r="J20" s="24">
        <v>5.23</v>
      </c>
      <c r="K20" s="24">
        <v>0</v>
      </c>
      <c r="L20" s="24" t="s">
        <v>50</v>
      </c>
      <c r="M20" s="35"/>
      <c r="N20" s="35"/>
      <c r="O20" s="35"/>
      <c r="P20" s="233">
        <f>B$15*A20</f>
        <v>14285.714285714286</v>
      </c>
    </row>
    <row r="21" spans="1:19" ht="15.75" thickBot="1" x14ac:dyDescent="0.3">
      <c r="A21" s="32">
        <v>10</v>
      </c>
      <c r="B21" s="24">
        <v>24</v>
      </c>
      <c r="C21" s="24">
        <v>8.76</v>
      </c>
      <c r="D21" s="24">
        <v>9.77</v>
      </c>
      <c r="E21" s="24">
        <v>2200</v>
      </c>
      <c r="F21" s="24">
        <v>1.85</v>
      </c>
      <c r="G21" s="24">
        <v>600</v>
      </c>
      <c r="H21" s="24">
        <v>2700</v>
      </c>
      <c r="I21" s="24">
        <v>0</v>
      </c>
      <c r="J21" s="24" t="s">
        <v>37</v>
      </c>
      <c r="K21" s="24">
        <v>0</v>
      </c>
      <c r="L21" s="24" t="s">
        <v>50</v>
      </c>
      <c r="M21" s="35"/>
      <c r="N21" s="35"/>
      <c r="O21" s="35"/>
      <c r="P21" s="233"/>
    </row>
    <row r="22" spans="1:19" ht="15.75" thickBot="1" x14ac:dyDescent="0.3">
      <c r="A22" s="32">
        <v>15</v>
      </c>
      <c r="B22" s="24">
        <v>24</v>
      </c>
      <c r="C22" s="24">
        <v>8.75</v>
      </c>
      <c r="D22" s="24">
        <v>9.7899999999999991</v>
      </c>
      <c r="E22" s="24">
        <v>2300</v>
      </c>
      <c r="F22" s="24">
        <v>1.28</v>
      </c>
      <c r="G22" s="24">
        <v>600</v>
      </c>
      <c r="H22" s="24">
        <v>3620</v>
      </c>
      <c r="I22" s="24">
        <v>0</v>
      </c>
      <c r="J22" s="24" t="s">
        <v>37</v>
      </c>
      <c r="K22" s="24">
        <v>0</v>
      </c>
      <c r="L22" s="24" t="s">
        <v>50</v>
      </c>
      <c r="M22" s="35"/>
      <c r="N22" s="35"/>
      <c r="O22" s="35"/>
      <c r="P22" s="233"/>
    </row>
    <row r="23" spans="1:19" ht="15.75" thickBot="1" x14ac:dyDescent="0.3">
      <c r="A23" s="32">
        <v>30</v>
      </c>
      <c r="B23" s="24">
        <v>24.4</v>
      </c>
      <c r="C23" s="24">
        <v>8.7100000000000009</v>
      </c>
      <c r="D23" s="24">
        <v>9.7799999999999994</v>
      </c>
      <c r="E23" s="24">
        <v>2100</v>
      </c>
      <c r="F23" s="24">
        <v>0.56000000000000005</v>
      </c>
      <c r="G23" s="24">
        <v>650</v>
      </c>
      <c r="H23" s="24">
        <v>2180</v>
      </c>
      <c r="I23" s="24">
        <v>0</v>
      </c>
      <c r="J23" s="24" t="s">
        <v>37</v>
      </c>
      <c r="K23" s="24">
        <v>0</v>
      </c>
      <c r="L23" s="24" t="s">
        <v>50</v>
      </c>
      <c r="M23" s="36">
        <v>440</v>
      </c>
      <c r="N23" s="36">
        <v>15160</v>
      </c>
      <c r="O23" s="36" t="s">
        <v>35</v>
      </c>
      <c r="P23" s="233"/>
    </row>
    <row r="24" spans="1:19" ht="15.75" thickBot="1" x14ac:dyDescent="0.3">
      <c r="A24" s="32" t="s">
        <v>40</v>
      </c>
      <c r="B24" s="24">
        <v>24.4</v>
      </c>
      <c r="C24" s="24">
        <v>8.73</v>
      </c>
      <c r="D24" s="24">
        <v>9.74</v>
      </c>
      <c r="E24" s="58">
        <v>2700</v>
      </c>
      <c r="F24" s="24">
        <v>0.61</v>
      </c>
      <c r="G24" s="24">
        <v>650</v>
      </c>
      <c r="H24" s="24">
        <v>2520</v>
      </c>
      <c r="I24" s="24">
        <v>0</v>
      </c>
      <c r="J24" s="24" t="s">
        <v>37</v>
      </c>
      <c r="K24" s="24">
        <v>0</v>
      </c>
      <c r="L24" s="24" t="s">
        <v>50</v>
      </c>
      <c r="M24" s="36">
        <v>430</v>
      </c>
      <c r="N24" s="36">
        <v>14730</v>
      </c>
      <c r="O24" s="27" t="s">
        <v>35</v>
      </c>
      <c r="P24" s="28"/>
    </row>
    <row r="25" spans="1:19" x14ac:dyDescent="0.25">
      <c r="A25" s="28"/>
      <c r="B25" s="28">
        <f>AVERAGE(B19:B20)</f>
        <v>23.85</v>
      </c>
      <c r="C25" s="28">
        <f>AVERAGE(C19:C20)</f>
        <v>8.7650000000000006</v>
      </c>
      <c r="D25" s="28"/>
      <c r="E25" s="28"/>
      <c r="F25" s="28"/>
      <c r="G25" s="28"/>
      <c r="H25" s="28"/>
      <c r="I25" s="29"/>
      <c r="J25" s="28">
        <v>7.23</v>
      </c>
      <c r="K25" s="28"/>
      <c r="L25" s="28"/>
      <c r="M25" s="28"/>
      <c r="N25" s="28"/>
      <c r="O25" s="28"/>
      <c r="P25" s="28"/>
    </row>
    <row r="26" spans="1:19" x14ac:dyDescent="0.25">
      <c r="A26" s="28" t="s">
        <v>140</v>
      </c>
      <c r="B26" s="8"/>
      <c r="C26" s="8"/>
      <c r="D26" s="8"/>
      <c r="E26" s="8"/>
      <c r="F26" s="8"/>
      <c r="G26" s="8"/>
      <c r="H26" s="8"/>
      <c r="I26" s="25"/>
      <c r="J26" s="8"/>
      <c r="K26" s="8"/>
      <c r="L26" s="8"/>
      <c r="M26" s="8"/>
      <c r="N26" s="28"/>
      <c r="O26" s="8"/>
      <c r="P26" s="8"/>
    </row>
    <row r="27" spans="1:19" x14ac:dyDescent="0.25">
      <c r="A27" s="28"/>
      <c r="B27" s="28" t="s">
        <v>141</v>
      </c>
      <c r="C27" s="8"/>
      <c r="D27" s="8"/>
      <c r="E27" s="8"/>
      <c r="F27" s="8"/>
      <c r="G27" s="8"/>
      <c r="H27" s="8"/>
      <c r="I27" s="25"/>
      <c r="J27" s="8"/>
      <c r="K27" s="8"/>
      <c r="L27" s="8"/>
      <c r="M27" s="8"/>
      <c r="N27" s="28"/>
      <c r="O27" s="8"/>
      <c r="P27" s="8"/>
    </row>
    <row r="28" spans="1:19" x14ac:dyDescent="0.25">
      <c r="A28" s="28" t="s">
        <v>27</v>
      </c>
      <c r="B28" s="28"/>
      <c r="C28" s="28"/>
      <c r="D28" s="28"/>
      <c r="E28" s="28"/>
      <c r="F28" s="28"/>
      <c r="G28" s="28"/>
      <c r="H28" s="28"/>
      <c r="I28" s="29"/>
      <c r="J28" s="28"/>
      <c r="K28" s="28"/>
      <c r="L28" s="28"/>
      <c r="M28" s="28"/>
      <c r="N28" s="28"/>
      <c r="O28" s="28"/>
      <c r="P28" s="28"/>
    </row>
    <row r="29" spans="1:19" x14ac:dyDescent="0.25">
      <c r="F29" s="28"/>
      <c r="G29" s="28"/>
      <c r="H29" s="28"/>
      <c r="I29" s="29"/>
      <c r="J29" s="28"/>
      <c r="K29" s="28"/>
      <c r="L29" s="28"/>
      <c r="M29" s="28"/>
      <c r="N29" s="28"/>
      <c r="O29" s="28"/>
      <c r="P29" s="28"/>
    </row>
    <row r="30" spans="1:19" x14ac:dyDescent="0.25">
      <c r="A30" s="28"/>
      <c r="B30" s="28"/>
      <c r="C30" s="28"/>
      <c r="D30" s="28"/>
      <c r="E30" s="28"/>
      <c r="F30" s="28"/>
      <c r="G30" s="28"/>
      <c r="H30" s="28"/>
      <c r="I30" s="29"/>
      <c r="J30" s="28"/>
      <c r="K30" s="28"/>
      <c r="L30" s="28"/>
      <c r="M30" s="28"/>
      <c r="N30" s="28"/>
      <c r="O30" s="28"/>
      <c r="P30" s="28"/>
    </row>
    <row r="31" spans="1:19" x14ac:dyDescent="0.25">
      <c r="A31" s="19" t="s">
        <v>28</v>
      </c>
      <c r="B31" s="28"/>
      <c r="C31" s="28"/>
      <c r="D31" s="28"/>
      <c r="E31" s="28"/>
      <c r="F31" s="28"/>
      <c r="G31" s="28"/>
      <c r="H31" s="28"/>
      <c r="I31" s="29"/>
      <c r="J31" s="28"/>
      <c r="K31" s="28"/>
      <c r="L31" s="28"/>
      <c r="M31" s="28"/>
      <c r="N31" s="28"/>
      <c r="O31" s="28"/>
      <c r="P31" s="28"/>
    </row>
    <row r="32" spans="1:19" x14ac:dyDescent="0.25">
      <c r="A32" s="28"/>
      <c r="B32" s="22"/>
      <c r="C32" s="28"/>
      <c r="D32" s="28"/>
      <c r="E32" s="28"/>
      <c r="F32" s="28"/>
      <c r="G32" s="28"/>
      <c r="H32" s="28"/>
      <c r="I32" s="29"/>
      <c r="J32" s="28"/>
      <c r="K32" s="28"/>
      <c r="L32" s="28" t="s">
        <v>34</v>
      </c>
      <c r="M32" s="28"/>
      <c r="N32" s="28" t="s">
        <v>34</v>
      </c>
      <c r="O32" s="28"/>
      <c r="P32" s="28"/>
    </row>
    <row r="33" spans="1:16" x14ac:dyDescent="0.25">
      <c r="A33" s="28"/>
      <c r="B33" s="22" t="s">
        <v>128</v>
      </c>
      <c r="C33" s="8"/>
      <c r="D33" s="8"/>
      <c r="E33" s="8"/>
      <c r="F33" s="8"/>
      <c r="G33" s="8"/>
      <c r="H33" s="8"/>
      <c r="I33" s="25"/>
      <c r="J33" s="8"/>
      <c r="K33" s="8"/>
      <c r="L33" s="28"/>
      <c r="M33" s="28"/>
      <c r="N33" s="28"/>
      <c r="O33" s="28"/>
      <c r="P33" s="28"/>
    </row>
    <row r="34" spans="1:16" x14ac:dyDescent="0.25">
      <c r="A34" s="28"/>
      <c r="B34" s="41" t="s">
        <v>142</v>
      </c>
      <c r="L34" s="28"/>
      <c r="M34" s="28"/>
      <c r="N34" s="28"/>
      <c r="O34" s="28"/>
      <c r="P34" s="28"/>
    </row>
    <row r="35" spans="1:16" x14ac:dyDescent="0.25">
      <c r="A35" s="28"/>
      <c r="B35" s="20" t="s">
        <v>36</v>
      </c>
      <c r="C35" s="8"/>
      <c r="D35" s="8"/>
      <c r="E35" s="8"/>
      <c r="F35" s="8"/>
      <c r="G35" s="8"/>
      <c r="H35" s="8"/>
      <c r="I35" s="25"/>
      <c r="J35" s="8"/>
      <c r="K35" s="8"/>
      <c r="L35" s="28"/>
      <c r="M35" s="28" t="s">
        <v>34</v>
      </c>
      <c r="N35" s="28"/>
      <c r="O35" s="28"/>
      <c r="P35" s="28"/>
    </row>
    <row r="36" spans="1:16" x14ac:dyDescent="0.25">
      <c r="A36" s="28"/>
      <c r="B36" s="22" t="s">
        <v>133</v>
      </c>
      <c r="L36" s="28"/>
      <c r="M36" s="28"/>
      <c r="N36" s="28"/>
      <c r="O36" s="28"/>
      <c r="P36" s="28"/>
    </row>
    <row r="37" spans="1:16" x14ac:dyDescent="0.25">
      <c r="A37" s="28"/>
      <c r="L37" s="28"/>
      <c r="M37" s="28" t="s">
        <v>34</v>
      </c>
      <c r="N37" s="28"/>
      <c r="O37" s="28"/>
      <c r="P37" s="28"/>
    </row>
    <row r="38" spans="1:16" x14ac:dyDescent="0.25">
      <c r="A38" s="28"/>
      <c r="B38" s="22" t="s">
        <v>38</v>
      </c>
      <c r="C38" s="21"/>
      <c r="D38" s="21"/>
      <c r="E38" s="8"/>
      <c r="F38" s="8"/>
      <c r="G38" s="8"/>
      <c r="H38" s="8"/>
      <c r="I38" s="25"/>
      <c r="J38" s="8"/>
      <c r="K38" s="8"/>
      <c r="L38" t="s">
        <v>34</v>
      </c>
      <c r="M38" s="28"/>
      <c r="N38" s="28"/>
      <c r="O38" s="28"/>
      <c r="P38" s="28"/>
    </row>
    <row r="39" spans="1:16" x14ac:dyDescent="0.25">
      <c r="A39" s="28"/>
      <c r="B39" s="37" t="s">
        <v>132</v>
      </c>
      <c r="C39" s="21"/>
      <c r="D39" s="8"/>
      <c r="E39" s="8"/>
      <c r="F39" s="8"/>
      <c r="G39" s="8"/>
      <c r="H39" s="25"/>
      <c r="I39" s="8"/>
      <c r="J39" s="8"/>
      <c r="K39" s="8"/>
      <c r="M39" s="28" t="s">
        <v>34</v>
      </c>
      <c r="N39" s="28"/>
      <c r="O39" s="28"/>
      <c r="P39" s="28"/>
    </row>
    <row r="40" spans="1:16" x14ac:dyDescent="0.25">
      <c r="A40" s="28"/>
      <c r="B40" s="22" t="s">
        <v>46</v>
      </c>
      <c r="C40" s="8"/>
      <c r="D40" s="8"/>
      <c r="E40" s="8"/>
      <c r="F40" s="8"/>
      <c r="G40" s="8"/>
      <c r="H40" s="8"/>
      <c r="I40" s="25"/>
      <c r="J40" s="8"/>
      <c r="K40" s="8"/>
      <c r="L40" s="28"/>
      <c r="M40" s="28"/>
      <c r="N40" s="28"/>
      <c r="O40" s="28"/>
      <c r="P40" s="28"/>
    </row>
    <row r="41" spans="1:16" x14ac:dyDescent="0.25">
      <c r="A41" s="28"/>
      <c r="B41" s="22"/>
      <c r="C41" s="28"/>
      <c r="D41" s="28"/>
      <c r="E41" s="28"/>
      <c r="F41" s="28"/>
      <c r="G41" s="28"/>
      <c r="H41" s="29"/>
      <c r="I41" s="28"/>
      <c r="J41" s="28"/>
      <c r="K41" s="28"/>
      <c r="L41" s="28"/>
      <c r="M41" s="28"/>
      <c r="N41" s="28" t="s">
        <v>34</v>
      </c>
      <c r="O41" s="28"/>
      <c r="P41" s="28"/>
    </row>
    <row r="42" spans="1:16" x14ac:dyDescent="0.25">
      <c r="A42" s="28"/>
      <c r="B42" s="41" t="s">
        <v>154</v>
      </c>
      <c r="C42" s="41"/>
      <c r="D42" s="41"/>
      <c r="E42" s="41"/>
      <c r="F42" s="41"/>
      <c r="G42" s="41"/>
      <c r="H42" s="41"/>
      <c r="I42" s="41"/>
      <c r="J42" s="41"/>
      <c r="K42" s="41"/>
      <c r="L42" s="41"/>
      <c r="M42" s="28"/>
      <c r="N42" s="28"/>
      <c r="O42" s="28"/>
      <c r="P42" s="28"/>
    </row>
    <row r="43" spans="1:16" x14ac:dyDescent="0.25">
      <c r="A43" s="28"/>
      <c r="B43" s="41" t="s">
        <v>155</v>
      </c>
      <c r="C43" s="41"/>
      <c r="D43" s="41"/>
      <c r="E43" s="41"/>
      <c r="F43" s="41"/>
      <c r="G43" s="41"/>
      <c r="H43" s="41"/>
      <c r="I43" s="41"/>
      <c r="J43" s="41"/>
      <c r="K43" s="41"/>
      <c r="L43" s="41"/>
      <c r="M43" s="28"/>
      <c r="N43" s="28"/>
      <c r="O43" s="28"/>
      <c r="P43" s="28"/>
    </row>
    <row r="44" spans="1:16" x14ac:dyDescent="0.25">
      <c r="B44" s="22" t="s">
        <v>157</v>
      </c>
      <c r="C44" s="28"/>
      <c r="D44" s="28"/>
      <c r="E44" s="28"/>
      <c r="F44" s="28"/>
      <c r="G44" s="28"/>
      <c r="H44" s="29"/>
      <c r="I44" s="28"/>
      <c r="J44" s="41"/>
      <c r="K44" s="28"/>
      <c r="L44" s="41"/>
    </row>
  </sheetData>
  <phoneticPr fontId="0" type="noConversion"/>
  <pageMargins left="0.7" right="0.7" top="0.75" bottom="0.75" header="0.3" footer="0.3"/>
  <pageSetup scale="63" orientation="landscape" verticalDpi="597"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Table 1</vt:lpstr>
      <vt:lpstr>Table 2</vt:lpstr>
      <vt:lpstr>Table 3</vt:lpstr>
      <vt:lpstr>Table 4</vt:lpstr>
      <vt:lpstr>Table 5</vt:lpstr>
      <vt:lpstr>Test Conditions</vt:lpstr>
      <vt:lpstr>Initial Char.</vt:lpstr>
      <vt:lpstr>3a</vt:lpstr>
      <vt:lpstr>3b</vt:lpstr>
      <vt:lpstr>3c</vt:lpstr>
      <vt:lpstr>7a</vt:lpstr>
      <vt:lpstr>7b</vt:lpstr>
      <vt:lpstr>7c</vt:lpstr>
      <vt:lpstr>14a</vt:lpstr>
      <vt:lpstr>14b</vt:lpstr>
      <vt:lpstr>14c</vt:lpstr>
      <vt:lpstr>18a</vt:lpstr>
      <vt:lpstr>18b</vt:lpstr>
      <vt:lpstr>18c</vt:lpstr>
      <vt:lpstr>22a</vt:lpstr>
      <vt:lpstr>22b</vt:lpstr>
      <vt:lpstr>22c</vt:lpstr>
      <vt:lpstr>11a</vt:lpstr>
      <vt:lpstr>11b</vt:lpstr>
      <vt:lpstr>11c</vt:lpstr>
      <vt:lpstr>21a</vt:lpstr>
      <vt:lpstr>21b</vt:lpstr>
      <vt:lpstr>21c</vt:lpstr>
      <vt:lpstr>21d</vt:lpstr>
      <vt:lpstr>21e</vt:lpstr>
      <vt:lpstr>21f</vt:lpstr>
      <vt:lpstr>21g</vt:lpstr>
      <vt:lpstr>21h</vt:lpstr>
      <vt:lpstr>21i</vt:lpstr>
      <vt:lpstr>21j</vt:lpstr>
      <vt:lpstr>21k</vt:lpstr>
      <vt:lpstr>21l</vt:lpstr>
      <vt:lpstr>21m</vt:lpstr>
      <vt:lpstr>21o</vt:lpstr>
      <vt:lpstr>21p</vt:lpstr>
      <vt:lpstr>21q</vt:lpstr>
      <vt:lpstr>10a</vt:lpstr>
      <vt:lpstr>10b</vt:lpstr>
      <vt:lpstr>10c</vt:lpstr>
      <vt:lpstr>10d</vt:lpstr>
      <vt:lpstr>10e</vt:lpstr>
      <vt:lpstr>10eR</vt:lpstr>
      <vt:lpstr>10f</vt:lpstr>
      <vt:lpstr>10g</vt:lpstr>
      <vt:lpstr>10h</vt:lpstr>
      <vt:lpstr>10i</vt:lpstr>
      <vt:lpstr>1a</vt:lpstr>
      <vt:lpstr>1b</vt:lpstr>
      <vt:lpstr>1c</vt:lpstr>
      <vt:lpstr>12a</vt:lpstr>
      <vt:lpstr>12b</vt:lpstr>
      <vt:lpstr>12c</vt:lpstr>
      <vt:lpstr>16a</vt:lpstr>
      <vt:lpstr>16b</vt:lpstr>
      <vt:lpstr>16cR</vt:lpstr>
      <vt:lpstr>5a</vt:lpstr>
      <vt:lpstr>5b</vt:lpstr>
      <vt:lpstr>5c</vt:lpstr>
      <vt:lpstr>9a</vt:lpstr>
      <vt:lpstr>9aR</vt:lpstr>
      <vt:lpstr>9b</vt:lpstr>
      <vt:lpstr>9c</vt:lpstr>
      <vt:lpstr>20a</vt:lpstr>
      <vt:lpstr>20b</vt:lpstr>
      <vt:lpstr>20c</vt:lpstr>
      <vt:lpstr>27aR</vt:lpstr>
      <vt:lpstr>27bR</vt:lpstr>
      <vt:lpstr>27c</vt:lpstr>
      <vt:lpstr>28a</vt:lpstr>
      <vt:lpstr>28b</vt:lpstr>
      <vt:lpstr>28c</vt:lpstr>
      <vt:lpstr>PM 4C 0hr</vt:lpstr>
      <vt:lpstr>PM 4C 48hr R</vt:lpstr>
      <vt:lpstr>PM 4C 96hr R</vt:lpstr>
      <vt:lpstr>PM 20C 0hr</vt:lpstr>
      <vt:lpstr>PM 20C 48hr R</vt:lpstr>
      <vt:lpstr>PM 20C 96hr R2</vt:lpstr>
    </vt:vector>
  </TitlesOfParts>
  <Company>The Shaw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Schupp, Don</dc:creator>
  <cp:lastModifiedBy>Gallardo, Vincent</cp:lastModifiedBy>
  <cp:lastPrinted>2017-01-06T14:00:33Z</cp:lastPrinted>
  <dcterms:created xsi:type="dcterms:W3CDTF">2010-12-13T12:18:06Z</dcterms:created>
  <dcterms:modified xsi:type="dcterms:W3CDTF">2017-01-06T17:10:33Z</dcterms:modified>
</cp:coreProperties>
</file>