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Net MyDocuments\Research\Jenia\Sample Package Decon\Manuscript\Science Hub\"/>
    </mc:Choice>
  </mc:AlternateContent>
  <bookViews>
    <workbookView xWindow="0" yWindow="0" windowWidth="19200" windowHeight="10995" tabRatio="901"/>
  </bookViews>
  <sheets>
    <sheet name="Data Dictionary and Matrix" sheetId="1" r:id="rId1"/>
    <sheet name="Data Summary" sheetId="14" r:id="rId2"/>
    <sheet name="Log Reduction Charts" sheetId="17" r:id="rId3"/>
    <sheet name="Log Reduction Tables" sheetId="16" r:id="rId4"/>
    <sheet name="LBC" sheetId="2" r:id="rId5"/>
    <sheet name="LBS" sheetId="3" r:id="rId6"/>
    <sheet name="LBP" sheetId="4" r:id="rId7"/>
    <sheet name="LWC" sheetId="5" r:id="rId8"/>
    <sheet name="LWS" sheetId="6" r:id="rId9"/>
    <sheet name="LWP" sheetId="7" r:id="rId10"/>
    <sheet name="ABC" sheetId="8" r:id="rId11"/>
    <sheet name="ABS" sheetId="9" r:id="rId12"/>
    <sheet name="ABP" sheetId="10" r:id="rId13"/>
    <sheet name="AWC" sheetId="11" r:id="rId14"/>
    <sheet name="AWS" sheetId="12" r:id="rId15"/>
    <sheet name="AWP" sheetId="13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4" l="1"/>
  <c r="D19" i="14"/>
  <c r="B59" i="3" l="1"/>
  <c r="B76" i="13"/>
  <c r="B75" i="13"/>
  <c r="B74" i="13"/>
  <c r="B73" i="13"/>
  <c r="B72" i="13"/>
  <c r="D72" i="13" s="1"/>
  <c r="B71" i="13"/>
  <c r="B70" i="13"/>
  <c r="B69" i="13"/>
  <c r="D69" i="13" s="1"/>
  <c r="B59" i="12"/>
  <c r="B69" i="11"/>
  <c r="B59" i="9"/>
  <c r="B59" i="8"/>
  <c r="B66" i="7"/>
  <c r="B65" i="7"/>
  <c r="B64" i="7"/>
  <c r="B63" i="7"/>
  <c r="D62" i="7" s="1"/>
  <c r="B62" i="7"/>
  <c r="B61" i="7"/>
  <c r="B60" i="7"/>
  <c r="B59" i="7"/>
  <c r="B66" i="6"/>
  <c r="B65" i="6"/>
  <c r="B64" i="6"/>
  <c r="B63" i="6"/>
  <c r="B62" i="6"/>
  <c r="B61" i="6"/>
  <c r="B60" i="6"/>
  <c r="B59" i="6"/>
  <c r="C62" i="5"/>
  <c r="C59" i="5"/>
  <c r="B66" i="5"/>
  <c r="B65" i="5"/>
  <c r="B64" i="5"/>
  <c r="B63" i="5"/>
  <c r="B62" i="5"/>
  <c r="B61" i="5"/>
  <c r="B60" i="5"/>
  <c r="B59" i="5"/>
  <c r="D59" i="5" s="1"/>
  <c r="B78" i="4"/>
  <c r="B77" i="4"/>
  <c r="B76" i="4"/>
  <c r="B75" i="4"/>
  <c r="D72" i="4"/>
  <c r="C72" i="4"/>
  <c r="B63" i="3"/>
  <c r="B62" i="3"/>
  <c r="B61" i="3"/>
  <c r="B60" i="3"/>
  <c r="B59" i="2"/>
  <c r="C59" i="2"/>
  <c r="B66" i="12"/>
  <c r="B65" i="12"/>
  <c r="B64" i="12"/>
  <c r="B63" i="12"/>
  <c r="B62" i="12"/>
  <c r="D62" i="12" s="1"/>
  <c r="B61" i="12"/>
  <c r="B60" i="12"/>
  <c r="D59" i="12"/>
  <c r="C59" i="12"/>
  <c r="B76" i="11"/>
  <c r="B75" i="11"/>
  <c r="B74" i="11"/>
  <c r="B73" i="11"/>
  <c r="D72" i="11"/>
  <c r="B72" i="11"/>
  <c r="C72" i="11" s="1"/>
  <c r="B71" i="11"/>
  <c r="B70" i="11"/>
  <c r="C69" i="11"/>
  <c r="B66" i="10"/>
  <c r="B65" i="10"/>
  <c r="B64" i="10"/>
  <c r="B63" i="10"/>
  <c r="B62" i="10"/>
  <c r="D62" i="10" s="1"/>
  <c r="B61" i="10"/>
  <c r="B60" i="10"/>
  <c r="B59" i="10"/>
  <c r="D59" i="10" s="1"/>
  <c r="B66" i="9"/>
  <c r="B65" i="9"/>
  <c r="B64" i="9"/>
  <c r="B63" i="9"/>
  <c r="B62" i="9"/>
  <c r="D62" i="9" s="1"/>
  <c r="B61" i="9"/>
  <c r="B60" i="9"/>
  <c r="D59" i="9"/>
  <c r="C59" i="9"/>
  <c r="B66" i="8"/>
  <c r="B65" i="8"/>
  <c r="B64" i="8"/>
  <c r="B63" i="8"/>
  <c r="D62" i="8" s="1"/>
  <c r="B62" i="8"/>
  <c r="C62" i="8" s="1"/>
  <c r="B61" i="8"/>
  <c r="B60" i="8"/>
  <c r="D59" i="8"/>
  <c r="C59" i="7"/>
  <c r="D62" i="6"/>
  <c r="D59" i="6"/>
  <c r="B79" i="4"/>
  <c r="D75" i="4"/>
  <c r="B66" i="3"/>
  <c r="B65" i="3"/>
  <c r="B64" i="3"/>
  <c r="D62" i="3"/>
  <c r="D59" i="3"/>
  <c r="C59" i="3"/>
  <c r="D62" i="2"/>
  <c r="D59" i="2"/>
  <c r="C62" i="2"/>
  <c r="B62" i="2"/>
  <c r="B63" i="2"/>
  <c r="B64" i="2"/>
  <c r="B65" i="2"/>
  <c r="B66" i="2"/>
  <c r="B60" i="2"/>
  <c r="B61" i="2"/>
  <c r="H45" i="4"/>
  <c r="M45" i="4"/>
  <c r="C69" i="13" l="1"/>
  <c r="D59" i="7"/>
  <c r="C72" i="13"/>
  <c r="C62" i="12"/>
  <c r="D69" i="11"/>
  <c r="C62" i="10"/>
  <c r="C59" i="10"/>
  <c r="C62" i="9"/>
  <c r="C59" i="8"/>
  <c r="C62" i="7"/>
  <c r="C59" i="6"/>
  <c r="C62" i="6"/>
  <c r="D62" i="5"/>
  <c r="C75" i="4"/>
  <c r="C62" i="3"/>
  <c r="G49" i="5"/>
  <c r="O51" i="5" l="1"/>
  <c r="N52" i="5"/>
  <c r="O52" i="5" s="1"/>
  <c r="P51" i="5" s="1"/>
  <c r="N51" i="5"/>
  <c r="H49" i="5"/>
  <c r="G49" i="7"/>
  <c r="H49" i="7"/>
  <c r="G12" i="16"/>
  <c r="E12" i="16"/>
  <c r="E8" i="16"/>
  <c r="G8" i="16"/>
  <c r="G6" i="16"/>
  <c r="E6" i="16"/>
  <c r="G4" i="16"/>
  <c r="E4" i="16"/>
  <c r="Q4" i="16"/>
  <c r="O16" i="17"/>
  <c r="F16" i="17"/>
  <c r="D16" i="17"/>
  <c r="F15" i="17"/>
  <c r="D15" i="17"/>
  <c r="H14" i="17"/>
  <c r="F14" i="17"/>
  <c r="D14" i="17"/>
  <c r="F13" i="17"/>
  <c r="D13" i="17"/>
  <c r="F12" i="17"/>
  <c r="D12" i="17"/>
  <c r="G11" i="17"/>
  <c r="F11" i="17"/>
  <c r="D11" i="17"/>
  <c r="F7" i="17"/>
  <c r="D7" i="17"/>
  <c r="H6" i="17"/>
  <c r="G6" i="17"/>
  <c r="H5" i="17"/>
  <c r="F5" i="17"/>
  <c r="D5" i="17"/>
  <c r="H4" i="17"/>
  <c r="F4" i="17"/>
  <c r="D4" i="17"/>
  <c r="F3" i="17"/>
  <c r="D3" i="17"/>
  <c r="M5" i="16"/>
  <c r="M7" i="16"/>
  <c r="L9" i="16"/>
  <c r="M9" i="16"/>
  <c r="L19" i="16"/>
  <c r="M23" i="16"/>
  <c r="M25" i="16"/>
  <c r="L27" i="16"/>
  <c r="M27" i="16"/>
  <c r="O3" i="14"/>
  <c r="O4" i="14"/>
  <c r="O5" i="14"/>
  <c r="O6" i="14"/>
  <c r="O7" i="14"/>
  <c r="O8" i="14"/>
  <c r="O9" i="14"/>
  <c r="O10" i="14"/>
  <c r="O11" i="14"/>
  <c r="O12" i="14"/>
  <c r="O13" i="14"/>
  <c r="O14" i="14"/>
  <c r="N14" i="14"/>
  <c r="N13" i="14"/>
  <c r="N12" i="14"/>
  <c r="N11" i="14"/>
  <c r="N10" i="14"/>
  <c r="N9" i="14"/>
  <c r="N8" i="14"/>
  <c r="N7" i="14"/>
  <c r="N6" i="14"/>
  <c r="N5" i="14"/>
  <c r="N4" i="14"/>
  <c r="N3" i="14"/>
  <c r="Q53" i="13"/>
  <c r="P53" i="13"/>
  <c r="Q44" i="12"/>
  <c r="P44" i="12"/>
  <c r="Q54" i="11"/>
  <c r="P54" i="11"/>
  <c r="Q44" i="10"/>
  <c r="P44" i="10"/>
  <c r="Q44" i="9"/>
  <c r="P44" i="9"/>
  <c r="Q44" i="8"/>
  <c r="P44" i="8"/>
  <c r="Q44" i="7"/>
  <c r="P44" i="7"/>
  <c r="Q44" i="6"/>
  <c r="P44" i="6"/>
  <c r="Q44" i="5"/>
  <c r="P44" i="5"/>
  <c r="Q56" i="4"/>
  <c r="P56" i="4"/>
  <c r="Q44" i="3"/>
  <c r="P44" i="3"/>
  <c r="Q44" i="2"/>
  <c r="P44" i="2"/>
  <c r="K57" i="4"/>
  <c r="M17" i="16" l="1"/>
  <c r="G4" i="17"/>
  <c r="G13" i="17"/>
  <c r="G15" i="17"/>
  <c r="L25" i="16"/>
  <c r="L17" i="16"/>
  <c r="L7" i="16"/>
  <c r="H11" i="17"/>
  <c r="H13" i="17"/>
  <c r="H15" i="17"/>
  <c r="M19" i="16"/>
  <c r="M13" i="16"/>
  <c r="G7" i="17"/>
  <c r="L23" i="16"/>
  <c r="L13" i="16"/>
  <c r="L5" i="16"/>
  <c r="H7" i="17"/>
  <c r="M21" i="16"/>
  <c r="M11" i="16"/>
  <c r="G5" i="17"/>
  <c r="G8" i="17"/>
  <c r="G12" i="17"/>
  <c r="G14" i="17"/>
  <c r="G16" i="17"/>
  <c r="L21" i="16"/>
  <c r="L11" i="16"/>
  <c r="H8" i="17"/>
  <c r="H12" i="17"/>
  <c r="H16" i="17"/>
  <c r="L3" i="16"/>
  <c r="G3" i="17"/>
  <c r="M3" i="16"/>
  <c r="H3" i="17"/>
  <c r="G10" i="16"/>
  <c r="N44" i="2"/>
  <c r="M57" i="4"/>
  <c r="H7" i="16" s="1"/>
  <c r="J27" i="16"/>
  <c r="H27" i="16"/>
  <c r="J25" i="16"/>
  <c r="H25" i="16"/>
  <c r="J23" i="16"/>
  <c r="H23" i="16"/>
  <c r="J21" i="16"/>
  <c r="H21" i="16"/>
  <c r="J19" i="16"/>
  <c r="H19" i="16"/>
  <c r="J17" i="16"/>
  <c r="H17" i="16"/>
  <c r="J11" i="16"/>
  <c r="H11" i="16"/>
  <c r="M44" i="2"/>
  <c r="J7" i="16"/>
  <c r="J5" i="16"/>
  <c r="H5" i="16"/>
  <c r="J3" i="16"/>
  <c r="H3" i="16"/>
  <c r="H57" i="13"/>
  <c r="G28" i="16" s="1"/>
  <c r="H54" i="13"/>
  <c r="G27" i="16" s="1"/>
  <c r="H48" i="12"/>
  <c r="H45" i="12"/>
  <c r="G25" i="16" s="1"/>
  <c r="H58" i="11"/>
  <c r="H55" i="11"/>
  <c r="G23" i="16" s="1"/>
  <c r="H48" i="10"/>
  <c r="G22" i="16" s="1"/>
  <c r="H45" i="10"/>
  <c r="H48" i="9"/>
  <c r="G20" i="16" s="1"/>
  <c r="H45" i="9"/>
  <c r="H48" i="8"/>
  <c r="H45" i="8"/>
  <c r="H46" i="7"/>
  <c r="G13" i="16" s="1"/>
  <c r="H49" i="6"/>
  <c r="H46" i="6"/>
  <c r="G11" i="16" s="1"/>
  <c r="H46" i="5"/>
  <c r="H48" i="4"/>
  <c r="H48" i="3"/>
  <c r="H45" i="3"/>
  <c r="H48" i="2"/>
  <c r="G45" i="3"/>
  <c r="G45" i="4"/>
  <c r="G48" i="4"/>
  <c r="G46" i="5"/>
  <c r="G46" i="6"/>
  <c r="G46" i="7"/>
  <c r="G45" i="8"/>
  <c r="G48" i="8"/>
  <c r="G45" i="9"/>
  <c r="G48" i="9"/>
  <c r="G19" i="16"/>
  <c r="E19" i="16"/>
  <c r="G18" i="16"/>
  <c r="G17" i="16"/>
  <c r="E17" i="16"/>
  <c r="E13" i="16"/>
  <c r="G9" i="16"/>
  <c r="E9" i="16"/>
  <c r="H45" i="2"/>
  <c r="E28" i="16"/>
  <c r="E27" i="16"/>
  <c r="G26" i="16"/>
  <c r="E26" i="16"/>
  <c r="E25" i="16"/>
  <c r="G24" i="16"/>
  <c r="E24" i="16"/>
  <c r="E23" i="16"/>
  <c r="E22" i="16"/>
  <c r="G21" i="16"/>
  <c r="E21" i="16"/>
  <c r="E20" i="16"/>
  <c r="E18" i="16"/>
  <c r="E11" i="16"/>
  <c r="G7" i="16"/>
  <c r="E7" i="16"/>
  <c r="G5" i="16"/>
  <c r="E5" i="16"/>
  <c r="G3" i="16"/>
  <c r="E3" i="16"/>
  <c r="M45" i="7"/>
  <c r="D8" i="17" s="1"/>
  <c r="K45" i="7"/>
  <c r="N45" i="6"/>
  <c r="M45" i="6"/>
  <c r="K45" i="6"/>
  <c r="M45" i="5"/>
  <c r="K45" i="5"/>
  <c r="N57" i="4"/>
  <c r="N44" i="3"/>
  <c r="M44" i="3"/>
  <c r="K44" i="3"/>
  <c r="K46" i="7"/>
  <c r="K47" i="7"/>
  <c r="K48" i="7"/>
  <c r="K49" i="7"/>
  <c r="N45" i="7" s="1"/>
  <c r="K50" i="7"/>
  <c r="K51" i="7"/>
  <c r="K52" i="7"/>
  <c r="K53" i="7"/>
  <c r="K46" i="4"/>
  <c r="K47" i="4"/>
  <c r="K48" i="4"/>
  <c r="K49" i="4"/>
  <c r="K50" i="4"/>
  <c r="K45" i="4"/>
  <c r="K58" i="13"/>
  <c r="K59" i="13"/>
  <c r="K60" i="13"/>
  <c r="F57" i="13"/>
  <c r="K57" i="13" s="1"/>
  <c r="K61" i="13"/>
  <c r="K58" i="11"/>
  <c r="K59" i="11"/>
  <c r="K60" i="11"/>
  <c r="K61" i="11"/>
  <c r="K62" i="11"/>
  <c r="M54" i="11"/>
  <c r="N54" i="11"/>
  <c r="N44" i="10"/>
  <c r="M44" i="10"/>
  <c r="N44" i="9"/>
  <c r="K53" i="6"/>
  <c r="K52" i="6"/>
  <c r="K51" i="6"/>
  <c r="K50" i="6"/>
  <c r="K49" i="6"/>
  <c r="K48" i="6"/>
  <c r="K47" i="6"/>
  <c r="K46" i="6"/>
  <c r="K53" i="5"/>
  <c r="K52" i="5"/>
  <c r="K51" i="5"/>
  <c r="K50" i="5"/>
  <c r="N45" i="5" s="1"/>
  <c r="K49" i="5"/>
  <c r="K48" i="5"/>
  <c r="K47" i="5"/>
  <c r="K46" i="5"/>
  <c r="K65" i="4"/>
  <c r="K64" i="4"/>
  <c r="K63" i="4"/>
  <c r="K62" i="4"/>
  <c r="K61" i="4"/>
  <c r="K52" i="3"/>
  <c r="K51" i="3"/>
  <c r="K50" i="3"/>
  <c r="K49" i="3"/>
  <c r="K48" i="3"/>
  <c r="K47" i="3"/>
  <c r="K46" i="3"/>
  <c r="K45" i="3"/>
  <c r="K52" i="2"/>
  <c r="K51" i="2"/>
  <c r="K50" i="2"/>
  <c r="K49" i="2"/>
  <c r="K48" i="2"/>
  <c r="K47" i="2"/>
  <c r="K46" i="2"/>
  <c r="K45" i="2"/>
  <c r="K44" i="2"/>
  <c r="K56" i="13"/>
  <c r="K55" i="13"/>
  <c r="K54" i="13"/>
  <c r="K53" i="13"/>
  <c r="K52" i="12"/>
  <c r="K51" i="12"/>
  <c r="K50" i="12"/>
  <c r="N44" i="12" s="1"/>
  <c r="K49" i="12"/>
  <c r="K48" i="12"/>
  <c r="K47" i="12"/>
  <c r="K46" i="12"/>
  <c r="K45" i="12"/>
  <c r="M44" i="12"/>
  <c r="K44" i="12"/>
  <c r="K57" i="11"/>
  <c r="K56" i="11"/>
  <c r="K55" i="11"/>
  <c r="K54" i="11"/>
  <c r="K52" i="10"/>
  <c r="K51" i="10"/>
  <c r="K50" i="10"/>
  <c r="K49" i="10"/>
  <c r="K48" i="10"/>
  <c r="K47" i="10"/>
  <c r="K46" i="10"/>
  <c r="K45" i="10"/>
  <c r="K44" i="10"/>
  <c r="K52" i="9"/>
  <c r="K51" i="9"/>
  <c r="K50" i="9"/>
  <c r="K49" i="9"/>
  <c r="K48" i="9"/>
  <c r="K47" i="9"/>
  <c r="K46" i="9"/>
  <c r="K45" i="9"/>
  <c r="M44" i="9"/>
  <c r="K44" i="9"/>
  <c r="N44" i="8"/>
  <c r="K45" i="8"/>
  <c r="K46" i="8"/>
  <c r="K47" i="8"/>
  <c r="K48" i="8"/>
  <c r="K49" i="8"/>
  <c r="K50" i="8"/>
  <c r="K51" i="8"/>
  <c r="K52" i="8"/>
  <c r="K44" i="8"/>
  <c r="M44" i="8"/>
  <c r="F6" i="17" l="1"/>
  <c r="D6" i="17"/>
  <c r="E10" i="16"/>
  <c r="H9" i="16"/>
  <c r="J9" i="16"/>
  <c r="F8" i="17"/>
  <c r="J13" i="16"/>
  <c r="H13" i="16"/>
  <c r="G57" i="13"/>
  <c r="M53" i="13"/>
  <c r="N53" i="13"/>
  <c r="I46" i="2" l="1"/>
  <c r="G9" i="14"/>
  <c r="G10" i="14"/>
  <c r="G11" i="14"/>
  <c r="G14" i="14"/>
  <c r="E8" i="14"/>
  <c r="E9" i="14"/>
  <c r="E10" i="14"/>
  <c r="E11" i="14"/>
  <c r="E12" i="14"/>
  <c r="E13" i="14"/>
  <c r="E14" i="14"/>
  <c r="E7" i="14"/>
  <c r="G8" i="14"/>
  <c r="H61" i="4"/>
  <c r="H14" i="14"/>
  <c r="F14" i="14"/>
  <c r="D14" i="14"/>
  <c r="J14" i="14" s="1"/>
  <c r="H13" i="14"/>
  <c r="D13" i="14"/>
  <c r="J13" i="14" s="1"/>
  <c r="H12" i="14"/>
  <c r="D12" i="14"/>
  <c r="H11" i="14"/>
  <c r="F11" i="14"/>
  <c r="D11" i="14"/>
  <c r="J11" i="14" s="1"/>
  <c r="H10" i="14"/>
  <c r="F10" i="14"/>
  <c r="D10" i="14"/>
  <c r="H9" i="14"/>
  <c r="I9" i="14" s="1"/>
  <c r="F9" i="14"/>
  <c r="D9" i="14"/>
  <c r="H8" i="14"/>
  <c r="F8" i="14"/>
  <c r="D8" i="14"/>
  <c r="J8" i="14" s="1"/>
  <c r="H7" i="14"/>
  <c r="F7" i="14"/>
  <c r="D7" i="14"/>
  <c r="J7" i="14" s="1"/>
  <c r="E6" i="14"/>
  <c r="H6" i="14"/>
  <c r="D6" i="14"/>
  <c r="J6" i="14" s="1"/>
  <c r="F5" i="14"/>
  <c r="H4" i="14"/>
  <c r="F4" i="14"/>
  <c r="E4" i="14"/>
  <c r="D4" i="14"/>
  <c r="J4" i="14" s="1"/>
  <c r="H3" i="14"/>
  <c r="F3" i="14"/>
  <c r="E3" i="14"/>
  <c r="D3" i="14"/>
  <c r="G54" i="13"/>
  <c r="F56" i="13"/>
  <c r="F55" i="13"/>
  <c r="F54" i="13"/>
  <c r="F53" i="13"/>
  <c r="G13" i="14"/>
  <c r="G48" i="12"/>
  <c r="G45" i="12"/>
  <c r="I46" i="12" s="1"/>
  <c r="F47" i="12"/>
  <c r="F46" i="12"/>
  <c r="F45" i="12"/>
  <c r="F52" i="12"/>
  <c r="F51" i="12"/>
  <c r="F49" i="12"/>
  <c r="F48" i="12"/>
  <c r="F44" i="12"/>
  <c r="G12" i="14"/>
  <c r="G58" i="11"/>
  <c r="F59" i="11"/>
  <c r="F60" i="11"/>
  <c r="F62" i="11"/>
  <c r="F57" i="11"/>
  <c r="F56" i="11"/>
  <c r="G55" i="11" s="1"/>
  <c r="I56" i="11" s="1"/>
  <c r="F55" i="11"/>
  <c r="I30" i="11"/>
  <c r="F54" i="11"/>
  <c r="F47" i="10"/>
  <c r="F46" i="10"/>
  <c r="F45" i="10"/>
  <c r="F52" i="10"/>
  <c r="F51" i="10"/>
  <c r="F50" i="10"/>
  <c r="F49" i="10"/>
  <c r="F48" i="10"/>
  <c r="I13" i="10"/>
  <c r="G32" i="10"/>
  <c r="I6" i="10"/>
  <c r="F44" i="10"/>
  <c r="F52" i="9"/>
  <c r="I11" i="9"/>
  <c r="I8" i="9"/>
  <c r="I5" i="9"/>
  <c r="I46" i="9"/>
  <c r="F44" i="9"/>
  <c r="F51" i="9"/>
  <c r="F50" i="9"/>
  <c r="F49" i="9"/>
  <c r="F48" i="9"/>
  <c r="F47" i="9"/>
  <c r="F46" i="9"/>
  <c r="F45" i="9"/>
  <c r="F52" i="8"/>
  <c r="F51" i="8"/>
  <c r="F50" i="8"/>
  <c r="F49" i="8"/>
  <c r="F48" i="8"/>
  <c r="F47" i="8"/>
  <c r="F46" i="8"/>
  <c r="F45" i="8"/>
  <c r="F44" i="8"/>
  <c r="I2" i="8"/>
  <c r="F48" i="7"/>
  <c r="F47" i="7"/>
  <c r="F46" i="7"/>
  <c r="F45" i="7"/>
  <c r="F48" i="6"/>
  <c r="F47" i="6"/>
  <c r="F46" i="6"/>
  <c r="F45" i="6"/>
  <c r="G6" i="14"/>
  <c r="F48" i="5"/>
  <c r="F47" i="5"/>
  <c r="F46" i="5"/>
  <c r="F45" i="5"/>
  <c r="K11" i="5"/>
  <c r="I46" i="3"/>
  <c r="F47" i="3"/>
  <c r="F46" i="3"/>
  <c r="F45" i="3"/>
  <c r="F44" i="3"/>
  <c r="I55" i="13"/>
  <c r="I45" i="13"/>
  <c r="E45" i="13"/>
  <c r="I44" i="13"/>
  <c r="E44" i="13"/>
  <c r="M34" i="13"/>
  <c r="H27" i="13"/>
  <c r="H26" i="13"/>
  <c r="H25" i="13"/>
  <c r="H24" i="13"/>
  <c r="H23" i="13"/>
  <c r="I23" i="13" s="1"/>
  <c r="H22" i="13"/>
  <c r="H21" i="13"/>
  <c r="H20" i="13"/>
  <c r="I20" i="13" s="1"/>
  <c r="H19" i="13"/>
  <c r="H18" i="13"/>
  <c r="H17" i="13"/>
  <c r="I17" i="13" s="1"/>
  <c r="H16" i="13"/>
  <c r="H15" i="13"/>
  <c r="H14" i="13"/>
  <c r="I14" i="13" s="1"/>
  <c r="H13" i="13"/>
  <c r="H12" i="13"/>
  <c r="H11" i="13"/>
  <c r="I11" i="13" s="1"/>
  <c r="H10" i="13"/>
  <c r="H9" i="13"/>
  <c r="H8" i="13"/>
  <c r="I8" i="13" s="1"/>
  <c r="H7" i="13"/>
  <c r="H6" i="13"/>
  <c r="H5" i="13"/>
  <c r="I5" i="13" s="1"/>
  <c r="H4" i="13"/>
  <c r="H3" i="13"/>
  <c r="H2" i="13"/>
  <c r="I2" i="13" s="1"/>
  <c r="J10" i="14" l="1"/>
  <c r="J9" i="14"/>
  <c r="J12" i="14"/>
  <c r="J3" i="14"/>
  <c r="F6" i="14"/>
  <c r="F13" i="14"/>
  <c r="F12" i="14"/>
  <c r="G48" i="10"/>
  <c r="G45" i="10"/>
  <c r="I46" i="10" s="1"/>
  <c r="I46" i="8"/>
  <c r="L31" i="13"/>
  <c r="L30" i="13"/>
  <c r="I30" i="13"/>
  <c r="I31" i="13"/>
  <c r="E50" i="13" l="1"/>
  <c r="E47" i="13"/>
  <c r="I50" i="13"/>
  <c r="I47" i="13"/>
  <c r="H29" i="12" l="1"/>
  <c r="H28" i="12"/>
  <c r="H27" i="12"/>
  <c r="I27" i="12" s="1"/>
  <c r="G21" i="12"/>
  <c r="G20" i="12"/>
  <c r="G18" i="12"/>
  <c r="G17" i="12"/>
  <c r="G23" i="12" s="1"/>
  <c r="H10" i="12"/>
  <c r="H9" i="12"/>
  <c r="H8" i="12"/>
  <c r="I8" i="12" s="1"/>
  <c r="H7" i="12"/>
  <c r="H6" i="12"/>
  <c r="H5" i="12"/>
  <c r="I5" i="12" s="1"/>
  <c r="H4" i="12"/>
  <c r="H3" i="12"/>
  <c r="H2" i="12"/>
  <c r="I2" i="12" s="1"/>
  <c r="I45" i="11"/>
  <c r="E45" i="11"/>
  <c r="I44" i="11"/>
  <c r="E44" i="11"/>
  <c r="M34" i="11"/>
  <c r="H27" i="11"/>
  <c r="H26" i="11"/>
  <c r="H25" i="11"/>
  <c r="H24" i="11"/>
  <c r="H23" i="11"/>
  <c r="I23" i="11" s="1"/>
  <c r="H22" i="11"/>
  <c r="H21" i="11"/>
  <c r="H20" i="11"/>
  <c r="I20" i="11" s="1"/>
  <c r="H19" i="11"/>
  <c r="H18" i="11"/>
  <c r="H17" i="11"/>
  <c r="I17" i="11" s="1"/>
  <c r="H16" i="11"/>
  <c r="H15" i="11"/>
  <c r="H14" i="11"/>
  <c r="I14" i="11" s="1"/>
  <c r="H13" i="11"/>
  <c r="H12" i="11"/>
  <c r="H11" i="11"/>
  <c r="I11" i="11" s="1"/>
  <c r="H10" i="11"/>
  <c r="H9" i="11"/>
  <c r="H8" i="11"/>
  <c r="I8" i="11" s="1"/>
  <c r="H7" i="11"/>
  <c r="H6" i="11"/>
  <c r="H5" i="11"/>
  <c r="I5" i="11" s="1"/>
  <c r="H4" i="11"/>
  <c r="H3" i="11"/>
  <c r="H2" i="11"/>
  <c r="I2" i="11" s="1"/>
  <c r="I15" i="12" l="1"/>
  <c r="I14" i="12"/>
  <c r="G22" i="12"/>
  <c r="J24" i="12" s="1"/>
  <c r="L31" i="11"/>
  <c r="L30" i="11"/>
  <c r="I31" i="11"/>
  <c r="L14" i="12" l="1"/>
  <c r="I24" i="12"/>
  <c r="E50" i="11"/>
  <c r="E47" i="11"/>
  <c r="I50" i="11"/>
  <c r="I47" i="11"/>
  <c r="H29" i="10" l="1"/>
  <c r="H28" i="10"/>
  <c r="H27" i="10"/>
  <c r="I27" i="10" s="1"/>
  <c r="H26" i="10"/>
  <c r="H25" i="10"/>
  <c r="H24" i="10"/>
  <c r="I24" i="10" s="1"/>
  <c r="H23" i="10"/>
  <c r="H22" i="10"/>
  <c r="I21" i="10"/>
  <c r="H21" i="10"/>
  <c r="H20" i="10"/>
  <c r="H19" i="10"/>
  <c r="H18" i="10"/>
  <c r="I18" i="10" s="1"/>
  <c r="I33" i="10" s="1"/>
  <c r="H15" i="10"/>
  <c r="H14" i="10"/>
  <c r="H13" i="10"/>
  <c r="H12" i="10"/>
  <c r="H11" i="10"/>
  <c r="I10" i="10"/>
  <c r="H10" i="10"/>
  <c r="H8" i="10"/>
  <c r="H7" i="10"/>
  <c r="H6" i="10"/>
  <c r="H4" i="10"/>
  <c r="H3" i="10"/>
  <c r="H2" i="10"/>
  <c r="I2" i="10" s="1"/>
  <c r="H35" i="9"/>
  <c r="H34" i="9"/>
  <c r="H33" i="9"/>
  <c r="I33" i="9" s="1"/>
  <c r="H25" i="9"/>
  <c r="H24" i="9"/>
  <c r="H23" i="9"/>
  <c r="I23" i="9" s="1"/>
  <c r="H22" i="9"/>
  <c r="H21" i="9"/>
  <c r="H20" i="9"/>
  <c r="I20" i="9" s="1"/>
  <c r="H19" i="9"/>
  <c r="H18" i="9"/>
  <c r="H17" i="9"/>
  <c r="I17" i="9" s="1"/>
  <c r="H16" i="9"/>
  <c r="H15" i="9"/>
  <c r="H14" i="9"/>
  <c r="I14" i="9" s="1"/>
  <c r="H13" i="9"/>
  <c r="H12" i="9"/>
  <c r="H11" i="9"/>
  <c r="H10" i="9"/>
  <c r="H9" i="9"/>
  <c r="H8" i="9"/>
  <c r="H7" i="9"/>
  <c r="H6" i="9"/>
  <c r="H5" i="9"/>
  <c r="H4" i="9"/>
  <c r="H3" i="9"/>
  <c r="H2" i="9"/>
  <c r="I2" i="9" s="1"/>
  <c r="H28" i="8"/>
  <c r="H27" i="8"/>
  <c r="H26" i="8"/>
  <c r="I26" i="8" s="1"/>
  <c r="H25" i="8"/>
  <c r="H24" i="8"/>
  <c r="I23" i="8"/>
  <c r="H23" i="8"/>
  <c r="H22" i="8"/>
  <c r="H21" i="8"/>
  <c r="H20" i="8"/>
  <c r="I20" i="8" s="1"/>
  <c r="H19" i="8"/>
  <c r="H18" i="8"/>
  <c r="H17" i="8"/>
  <c r="I17" i="8" s="1"/>
  <c r="H16" i="8"/>
  <c r="H15" i="8"/>
  <c r="H14" i="8"/>
  <c r="I14" i="8" s="1"/>
  <c r="H13" i="8"/>
  <c r="H12" i="8"/>
  <c r="H11" i="8"/>
  <c r="I11" i="8" s="1"/>
  <c r="H10" i="8"/>
  <c r="H9" i="8"/>
  <c r="H8" i="8"/>
  <c r="I8" i="8" s="1"/>
  <c r="H7" i="8"/>
  <c r="H6" i="8"/>
  <c r="H5" i="8"/>
  <c r="I5" i="8" s="1"/>
  <c r="H4" i="8"/>
  <c r="H3" i="8"/>
  <c r="H2" i="8"/>
  <c r="J38" i="7"/>
  <c r="G38" i="7"/>
  <c r="K38" i="7" s="1"/>
  <c r="E38" i="7"/>
  <c r="J35" i="7"/>
  <c r="G35" i="7"/>
  <c r="K35" i="7" s="1"/>
  <c r="E35" i="7"/>
  <c r="J32" i="7"/>
  <c r="G32" i="7"/>
  <c r="K32" i="7" s="1"/>
  <c r="E32" i="7"/>
  <c r="J29" i="7"/>
  <c r="G29" i="7"/>
  <c r="K29" i="7" s="1"/>
  <c r="E29" i="7"/>
  <c r="J26" i="7"/>
  <c r="G26" i="7"/>
  <c r="K26" i="7" s="1"/>
  <c r="E26" i="7"/>
  <c r="G23" i="7"/>
  <c r="K23" i="7" s="1"/>
  <c r="E23" i="7"/>
  <c r="J20" i="7"/>
  <c r="G20" i="7"/>
  <c r="K20" i="7" s="1"/>
  <c r="E20" i="7"/>
  <c r="J17" i="7"/>
  <c r="K17" i="7" s="1"/>
  <c r="G17" i="7"/>
  <c r="E17" i="7"/>
  <c r="J14" i="7"/>
  <c r="G14" i="7"/>
  <c r="K14" i="7" s="1"/>
  <c r="E14" i="7"/>
  <c r="J11" i="7"/>
  <c r="K11" i="7" s="1"/>
  <c r="G11" i="7"/>
  <c r="E11" i="7"/>
  <c r="J8" i="7"/>
  <c r="G8" i="7"/>
  <c r="K8" i="7" s="1"/>
  <c r="E8" i="7"/>
  <c r="I4" i="7"/>
  <c r="F4" i="7"/>
  <c r="I3" i="7"/>
  <c r="F3" i="7"/>
  <c r="I2" i="7"/>
  <c r="G33" i="10" l="1"/>
  <c r="I32" i="10"/>
  <c r="I28" i="9"/>
  <c r="I29" i="9"/>
  <c r="F29" i="9"/>
  <c r="F28" i="9"/>
  <c r="I35" i="8"/>
  <c r="I34" i="8"/>
  <c r="L35" i="8" s="1"/>
  <c r="I30" i="8"/>
  <c r="I31" i="8"/>
  <c r="L23" i="7"/>
  <c r="M23" i="7"/>
  <c r="L11" i="7"/>
  <c r="L14" i="7"/>
  <c r="M14" i="7" s="1"/>
  <c r="M15" i="7"/>
  <c r="H35" i="10" l="1"/>
  <c r="L32" i="10"/>
  <c r="K31" i="9"/>
  <c r="H31" i="9"/>
  <c r="L28" i="9"/>
  <c r="K35" i="8"/>
  <c r="L30" i="8"/>
  <c r="J38" i="6"/>
  <c r="K38" i="6" s="1"/>
  <c r="G38" i="6"/>
  <c r="E38" i="6"/>
  <c r="J35" i="6"/>
  <c r="G35" i="6"/>
  <c r="K35" i="6" s="1"/>
  <c r="E35" i="6"/>
  <c r="J32" i="6"/>
  <c r="G32" i="6"/>
  <c r="K32" i="6" s="1"/>
  <c r="E32" i="6"/>
  <c r="J29" i="6"/>
  <c r="K29" i="6" s="1"/>
  <c r="G29" i="6"/>
  <c r="E29" i="6"/>
  <c r="J26" i="6"/>
  <c r="G26" i="6"/>
  <c r="K26" i="6" s="1"/>
  <c r="E26" i="6"/>
  <c r="G23" i="6"/>
  <c r="K23" i="6" s="1"/>
  <c r="E23" i="6"/>
  <c r="J20" i="6"/>
  <c r="K20" i="6" s="1"/>
  <c r="G20" i="6"/>
  <c r="E20" i="6"/>
  <c r="J17" i="6"/>
  <c r="G17" i="6"/>
  <c r="K17" i="6" s="1"/>
  <c r="E17" i="6"/>
  <c r="K14" i="6"/>
  <c r="M15" i="6" s="1"/>
  <c r="J14" i="6"/>
  <c r="G14" i="6"/>
  <c r="E14" i="6"/>
  <c r="J11" i="6"/>
  <c r="G11" i="6"/>
  <c r="K11" i="6" s="1"/>
  <c r="L11" i="6" s="1"/>
  <c r="E11" i="6"/>
  <c r="J8" i="6"/>
  <c r="G8" i="6"/>
  <c r="K8" i="6" s="1"/>
  <c r="E8" i="6"/>
  <c r="I4" i="6"/>
  <c r="F4" i="6"/>
  <c r="I3" i="6"/>
  <c r="F3" i="6"/>
  <c r="I2" i="6"/>
  <c r="L23" i="6" l="1"/>
  <c r="L14" i="6"/>
  <c r="M14" i="6" s="1"/>
  <c r="J38" i="5" l="1"/>
  <c r="G38" i="5"/>
  <c r="K38" i="5" s="1"/>
  <c r="E38" i="5"/>
  <c r="J35" i="5"/>
  <c r="K35" i="5" s="1"/>
  <c r="G35" i="5"/>
  <c r="E35" i="5"/>
  <c r="J32" i="5"/>
  <c r="G32" i="5"/>
  <c r="K32" i="5" s="1"/>
  <c r="E32" i="5"/>
  <c r="J29" i="5"/>
  <c r="G29" i="5"/>
  <c r="K29" i="5" s="1"/>
  <c r="E29" i="5"/>
  <c r="J26" i="5"/>
  <c r="K26" i="5" s="1"/>
  <c r="G26" i="5"/>
  <c r="E26" i="5"/>
  <c r="G23" i="5"/>
  <c r="K23" i="5" s="1"/>
  <c r="E23" i="5"/>
  <c r="J20" i="5"/>
  <c r="G20" i="5"/>
  <c r="K20" i="5" s="1"/>
  <c r="E20" i="5"/>
  <c r="K17" i="5"/>
  <c r="J17" i="5"/>
  <c r="G17" i="5"/>
  <c r="E17" i="5"/>
  <c r="J14" i="5"/>
  <c r="G14" i="5"/>
  <c r="K14" i="5" s="1"/>
  <c r="E14" i="5"/>
  <c r="J11" i="5"/>
  <c r="G11" i="5"/>
  <c r="E11" i="5"/>
  <c r="J8" i="5"/>
  <c r="K8" i="5" s="1"/>
  <c r="M11" i="5" s="1"/>
  <c r="G8" i="5"/>
  <c r="E8" i="5"/>
  <c r="I4" i="5"/>
  <c r="F4" i="5"/>
  <c r="I3" i="5"/>
  <c r="F3" i="5"/>
  <c r="I2" i="5"/>
  <c r="M23" i="5" l="1"/>
  <c r="L23" i="5"/>
  <c r="L14" i="5"/>
  <c r="M14" i="5"/>
  <c r="N14" i="5" s="1"/>
  <c r="N15" i="5"/>
  <c r="K24" i="3" l="1"/>
  <c r="F24" i="3"/>
  <c r="H23" i="3"/>
  <c r="H22" i="3"/>
  <c r="I21" i="3"/>
  <c r="H21" i="3"/>
  <c r="K20" i="3"/>
  <c r="F20" i="3"/>
  <c r="H19" i="3"/>
  <c r="H18" i="3"/>
  <c r="H17" i="3"/>
  <c r="I17" i="3" s="1"/>
  <c r="H14" i="3"/>
  <c r="H13" i="3"/>
  <c r="H12" i="3"/>
  <c r="I12" i="3" s="1"/>
  <c r="H11" i="3"/>
  <c r="H10" i="3"/>
  <c r="H9" i="3"/>
  <c r="I9" i="3" s="1"/>
  <c r="H8" i="3"/>
  <c r="H7" i="3"/>
  <c r="H6" i="3"/>
  <c r="I6" i="3" s="1"/>
  <c r="H5" i="3"/>
  <c r="H4" i="3"/>
  <c r="H3" i="3"/>
  <c r="I3" i="3" s="1"/>
  <c r="C50" i="4"/>
  <c r="F50" i="4" s="1"/>
  <c r="H41" i="4"/>
  <c r="E50" i="4" s="1"/>
  <c r="E41" i="4"/>
  <c r="H37" i="4"/>
  <c r="E47" i="4" s="1"/>
  <c r="E37" i="4"/>
  <c r="C47" i="4" s="1"/>
  <c r="F47" i="4" s="1"/>
  <c r="H33" i="4"/>
  <c r="E49" i="4" s="1"/>
  <c r="E33" i="4"/>
  <c r="C49" i="4" s="1"/>
  <c r="F49" i="4" s="1"/>
  <c r="H29" i="4"/>
  <c r="E46" i="4" s="1"/>
  <c r="E29" i="4"/>
  <c r="C46" i="4" s="1"/>
  <c r="F46" i="4" s="1"/>
  <c r="H25" i="4"/>
  <c r="E48" i="4" s="1"/>
  <c r="E25" i="4"/>
  <c r="C48" i="4" s="1"/>
  <c r="F48" i="4" s="1"/>
  <c r="H21" i="4"/>
  <c r="E45" i="4" s="1"/>
  <c r="E21" i="4"/>
  <c r="C45" i="4" s="1"/>
  <c r="F45" i="4" s="1"/>
  <c r="H17" i="4"/>
  <c r="E17" i="4"/>
  <c r="H13" i="4"/>
  <c r="E13" i="4"/>
  <c r="H9" i="4"/>
  <c r="E9" i="4"/>
  <c r="H5" i="4"/>
  <c r="E44" i="4" s="1"/>
  <c r="E5" i="4"/>
  <c r="C44" i="4" s="1"/>
  <c r="F44" i="4" s="1"/>
  <c r="F57" i="4" s="1"/>
  <c r="C44" i="2"/>
  <c r="F44" i="2" s="1"/>
  <c r="H41" i="2"/>
  <c r="E41" i="2"/>
  <c r="H37" i="2"/>
  <c r="E37" i="2"/>
  <c r="H33" i="2"/>
  <c r="E33" i="2"/>
  <c r="H29" i="2"/>
  <c r="E29" i="2"/>
  <c r="H25" i="2"/>
  <c r="E25" i="2"/>
  <c r="H21" i="2"/>
  <c r="E21" i="2"/>
  <c r="H17" i="2"/>
  <c r="E47" i="2" s="1"/>
  <c r="E17" i="2"/>
  <c r="C47" i="2" s="1"/>
  <c r="F47" i="2" s="1"/>
  <c r="H13" i="2"/>
  <c r="E46" i="2" s="1"/>
  <c r="E13" i="2"/>
  <c r="C46" i="2" s="1"/>
  <c r="F46" i="2" s="1"/>
  <c r="H9" i="2"/>
  <c r="E45" i="2" s="1"/>
  <c r="E9" i="2"/>
  <c r="C45" i="2" s="1"/>
  <c r="F45" i="2" s="1"/>
  <c r="H5" i="2"/>
  <c r="E44" i="2" s="1"/>
  <c r="E5" i="2"/>
  <c r="H5" i="14" l="1"/>
  <c r="H58" i="4"/>
  <c r="E5" i="14" s="1"/>
  <c r="G58" i="4"/>
  <c r="I46" i="4"/>
  <c r="I49" i="4"/>
  <c r="G45" i="2"/>
  <c r="I3" i="14" l="1"/>
  <c r="B19" i="14"/>
  <c r="C19" i="14"/>
  <c r="D5" i="14"/>
  <c r="J5" i="14" s="1"/>
</calcChain>
</file>

<file path=xl/sharedStrings.xml><?xml version="1.0" encoding="utf-8"?>
<sst xmlns="http://schemas.openxmlformats.org/spreadsheetml/2006/main" count="4772" uniqueCount="816">
  <si>
    <t>Spore Deposition Method</t>
  </si>
  <si>
    <t>Decontaminant</t>
  </si>
  <si>
    <t>Coupon Material</t>
  </si>
  <si>
    <t>Surface Samples</t>
  </si>
  <si>
    <t>Positive Control Samples</t>
  </si>
  <si>
    <t>Negative Control Samples</t>
  </si>
  <si>
    <t>Field Blank Sample</t>
  </si>
  <si>
    <t>Total Test Samples</t>
  </si>
  <si>
    <t>Liquid</t>
  </si>
  <si>
    <t>pH-adjusted bleach liquid spray</t>
  </si>
  <si>
    <t>Corrugated fiberboard</t>
  </si>
  <si>
    <t>Polystyrene foam</t>
  </si>
  <si>
    <t>Hard plastic</t>
  </si>
  <si>
    <t>Polyethylene plastic</t>
  </si>
  <si>
    <t>Sporicidal Bleach Wipe</t>
  </si>
  <si>
    <t>Aerosol</t>
  </si>
  <si>
    <t>Data Filename</t>
  </si>
  <si>
    <t>2015-01-21 wipe_cardboard-polyethylene_aerosol.xlsx</t>
  </si>
  <si>
    <t>2015-01-30 wipe_aerosol-styrofoam.xls</t>
  </si>
  <si>
    <t>2015-03-13 pAB_card_aerosol.xls</t>
  </si>
  <si>
    <t>2015-03-20 pAB_sty_aerosol.xls</t>
  </si>
  <si>
    <t>2015-04-03 pAB_poly_aerosol.xls</t>
  </si>
  <si>
    <t>2015-04-22 pAB-sty-liquid_+replates.xls</t>
  </si>
  <si>
    <t>2015-06-05 JAT - CARDBOARD AND POLY liq inoc PAB decon.xlsx</t>
  </si>
  <si>
    <t>Wipe-cardboard-liquid NEW073114.xlsx</t>
  </si>
  <si>
    <t>Wipe-polyethylene-liquid NEW082114.xlsx</t>
  </si>
  <si>
    <t>Wipe-styrofoam-liquid NEW073014.xlsx</t>
  </si>
  <si>
    <t>Tab</t>
  </si>
  <si>
    <t>LBC</t>
  </si>
  <si>
    <t>LBS</t>
  </si>
  <si>
    <t>LBP</t>
  </si>
  <si>
    <t>LWC</t>
  </si>
  <si>
    <t>LWS</t>
  </si>
  <si>
    <t>LWP</t>
  </si>
  <si>
    <t>ABC</t>
  </si>
  <si>
    <t>ABS</t>
  </si>
  <si>
    <t>ABP</t>
  </si>
  <si>
    <t>AWC</t>
  </si>
  <si>
    <t>AWS</t>
  </si>
  <si>
    <t>AWP</t>
  </si>
  <si>
    <t>SS Reference Sample</t>
  </si>
  <si>
    <t>ü</t>
  </si>
  <si>
    <t>DECSRIPTION</t>
  </si>
  <si>
    <t>REP</t>
  </si>
  <si>
    <t>avg (CFU/mL)</t>
  </si>
  <si>
    <t>Extract Vol (mL)</t>
  </si>
  <si>
    <t>CV % (bet plates)</t>
  </si>
  <si>
    <t>Total CFU</t>
  </si>
  <si>
    <t>Average</t>
  </si>
  <si>
    <t>CV</t>
  </si>
  <si>
    <t>SS CONTROL</t>
  </si>
  <si>
    <t>Between replicates</t>
  </si>
  <si>
    <t>of SS recovery</t>
  </si>
  <si>
    <t>POLYETHYLENE CONTROL (PLATED ON SP01)</t>
  </si>
  <si>
    <t>POLYETHYLENE CONTROL (PLATED ON SP02)</t>
  </si>
  <si>
    <t>All samples and negative controls will be filter plated on 6/8/15.</t>
  </si>
  <si>
    <t>PlateNo</t>
  </si>
  <si>
    <t>PlateID</t>
  </si>
  <si>
    <t>Dilution</t>
  </si>
  <si>
    <t>cfu/ml</t>
  </si>
  <si>
    <t>Flag</t>
  </si>
  <si>
    <t>Count</t>
  </si>
  <si>
    <t>AvgDiam</t>
  </si>
  <si>
    <t>Source</t>
  </si>
  <si>
    <t>Input</t>
  </si>
  <si>
    <t>MinSize</t>
  </si>
  <si>
    <t>MaxSize</t>
  </si>
  <si>
    <t>Plater</t>
  </si>
  <si>
    <t>Mode</t>
  </si>
  <si>
    <t>Shutter</t>
  </si>
  <si>
    <t>Light</t>
  </si>
  <si>
    <t>LightCol</t>
  </si>
  <si>
    <t>RedRgn</t>
  </si>
  <si>
    <t>Grid</t>
  </si>
  <si>
    <t>GridArea</t>
  </si>
  <si>
    <t>SampVol</t>
  </si>
  <si>
    <t>AreaMult</t>
  </si>
  <si>
    <t>LowCnt</t>
  </si>
  <si>
    <t>DateTime</t>
  </si>
  <si>
    <t>UserID</t>
  </si>
  <si>
    <t>1.1</t>
  </si>
  <si>
    <t>SS A</t>
  </si>
  <si>
    <t/>
  </si>
  <si>
    <t>Spiral</t>
  </si>
  <si>
    <t>Video</t>
  </si>
  <si>
    <t>Autoplate</t>
  </si>
  <si>
    <t>50 Exponential</t>
  </si>
  <si>
    <t>1/125</t>
  </si>
  <si>
    <t>Top</t>
  </si>
  <si>
    <t>True</t>
  </si>
  <si>
    <t>False</t>
  </si>
  <si>
    <t>Fri Jun 05 10:15:57 2015</t>
  </si>
  <si>
    <t>jatufts</t>
  </si>
  <si>
    <t>1.2</t>
  </si>
  <si>
    <t>SS B</t>
  </si>
  <si>
    <t>Fri Jun 05 10:16:19 2015</t>
  </si>
  <si>
    <t>1.3</t>
  </si>
  <si>
    <t>SS C</t>
  </si>
  <si>
    <t>Fri Jun 05 10:16:33 2015</t>
  </si>
  <si>
    <t>1</t>
  </si>
  <si>
    <t>SS +</t>
  </si>
  <si>
    <t>MEAN:</t>
  </si>
  <si>
    <t>C.V.%:</t>
  </si>
  <si>
    <t>2.1</t>
  </si>
  <si>
    <t>CB + 1 A</t>
  </si>
  <si>
    <t>Fri Jun 05 10:17:30 2015</t>
  </si>
  <si>
    <t>2.2</t>
  </si>
  <si>
    <t>CB + 1 B</t>
  </si>
  <si>
    <t>Fri Jun 05 10:17:43 2015</t>
  </si>
  <si>
    <t>2.3</t>
  </si>
  <si>
    <t>CB + 1 C</t>
  </si>
  <si>
    <t>Fri Jun 05 10:17:56 2015</t>
  </si>
  <si>
    <t>2</t>
  </si>
  <si>
    <t>CB + 1</t>
  </si>
  <si>
    <t>3.1</t>
  </si>
  <si>
    <t>CB + 2 A</t>
  </si>
  <si>
    <t>Fri Jun 05 10:18:36 2015</t>
  </si>
  <si>
    <t>3.2</t>
  </si>
  <si>
    <t>CB + 2 B</t>
  </si>
  <si>
    <t>Fri Jun 05 10:18:47 2015</t>
  </si>
  <si>
    <t>3.3</t>
  </si>
  <si>
    <t>CB + 2 C</t>
  </si>
  <si>
    <t>Fri Jun 05 10:19:00 2015</t>
  </si>
  <si>
    <t>3</t>
  </si>
  <si>
    <t>CB + 2</t>
  </si>
  <si>
    <t>4.1</t>
  </si>
  <si>
    <t>CB + 3 A</t>
  </si>
  <si>
    <t>Fri Jun 05 10:19:19 2015</t>
  </si>
  <si>
    <t>4.2</t>
  </si>
  <si>
    <t>CB + 3 B</t>
  </si>
  <si>
    <t>Fri Jun 05 10:19:35 2015</t>
  </si>
  <si>
    <t>4.3</t>
  </si>
  <si>
    <t>CB + 3 C</t>
  </si>
  <si>
    <t>Fri Jun 05 10:19:47 2015</t>
  </si>
  <si>
    <t>4</t>
  </si>
  <si>
    <t>CB + 3</t>
  </si>
  <si>
    <t>5.1</t>
  </si>
  <si>
    <t>SPO1 P1 + A</t>
  </si>
  <si>
    <t>Fri Jun 05 10:22:17 2015</t>
  </si>
  <si>
    <t>5.2</t>
  </si>
  <si>
    <t>SPO1 P1 + B</t>
  </si>
  <si>
    <t>Fri Jun 05 10:22:30 2015</t>
  </si>
  <si>
    <t>5.3</t>
  </si>
  <si>
    <t>SPO1 P1 + C</t>
  </si>
  <si>
    <t>Fri Jun 05 10:22:43 2015</t>
  </si>
  <si>
    <t>5</t>
  </si>
  <si>
    <t>P + 1 (SP01)</t>
  </si>
  <si>
    <t>6.1</t>
  </si>
  <si>
    <t>SPO2 P1 + A</t>
  </si>
  <si>
    <t>Fri Jun 05 10:23:37 2015</t>
  </si>
  <si>
    <t>6.2</t>
  </si>
  <si>
    <t>SPO2 P1 + B</t>
  </si>
  <si>
    <t>Fri Jun 05 10:23:49 2015</t>
  </si>
  <si>
    <t>6.3</t>
  </si>
  <si>
    <t>SPO2 P1 + C</t>
  </si>
  <si>
    <t>Fri Jun 05 10:24:05 2015</t>
  </si>
  <si>
    <t>6</t>
  </si>
  <si>
    <t>P + 1 (SP02)</t>
  </si>
  <si>
    <t>7.1</t>
  </si>
  <si>
    <t>SPO1 P2 + A</t>
  </si>
  <si>
    <t>Fri Jun 05 10:25:21 2015</t>
  </si>
  <si>
    <t>7.2</t>
  </si>
  <si>
    <t>SPO1 P2 + B</t>
  </si>
  <si>
    <t>Fri Jun 05 10:25:34 2015</t>
  </si>
  <si>
    <t>7.3</t>
  </si>
  <si>
    <t>SPO1 P2 + C</t>
  </si>
  <si>
    <t>Fri Jun 05 10:25:46 2015</t>
  </si>
  <si>
    <t>7</t>
  </si>
  <si>
    <t>P + 2 (SP01)</t>
  </si>
  <si>
    <t>8.1</t>
  </si>
  <si>
    <t>SPO2 PA + A</t>
  </si>
  <si>
    <t>Fri Jun 05 10:26:08 2015</t>
  </si>
  <si>
    <t>8.2</t>
  </si>
  <si>
    <t>SPO2 PA + B</t>
  </si>
  <si>
    <t>Fri Jun 05 10:26:24 2015</t>
  </si>
  <si>
    <t>8.3</t>
  </si>
  <si>
    <t>SPO2 PA + C</t>
  </si>
  <si>
    <t>Fri Jun 05 10:26:40 2015</t>
  </si>
  <si>
    <t>8</t>
  </si>
  <si>
    <t>P + 2 (SP02)</t>
  </si>
  <si>
    <t>9.1</t>
  </si>
  <si>
    <t>SPO1 P3 + A</t>
  </si>
  <si>
    <t>Fri Jun 05 10:27:34 2015</t>
  </si>
  <si>
    <t>9.2</t>
  </si>
  <si>
    <t>SPO1 P3 + B</t>
  </si>
  <si>
    <t>Fri Jun 05 10:27:44 2015</t>
  </si>
  <si>
    <t>9.3</t>
  </si>
  <si>
    <t>SPO1 P3 + C</t>
  </si>
  <si>
    <t>Fri Jun 05 10:27:58 2015</t>
  </si>
  <si>
    <t>9</t>
  </si>
  <si>
    <t>P + 3 (SP01)</t>
  </si>
  <si>
    <t>10.1</t>
  </si>
  <si>
    <t>SPO2 P3 + A</t>
  </si>
  <si>
    <t>Fri Jun 05 10:28:21 2015</t>
  </si>
  <si>
    <t>10.2</t>
  </si>
  <si>
    <t>SPO2 P3 + B</t>
  </si>
  <si>
    <t>Fri Jun 05 10:28:38 2015</t>
  </si>
  <si>
    <t>10.3</t>
  </si>
  <si>
    <t>SPO2 P3 + C</t>
  </si>
  <si>
    <t>Fri Jun 05 10:28:54 2015</t>
  </si>
  <si>
    <t>10</t>
  </si>
  <si>
    <t>P + 3 (SP02)</t>
  </si>
  <si>
    <t>SAMPLE ID</t>
  </si>
  <si>
    <t>Total Vol</t>
  </si>
  <si>
    <t>Avg CFU</t>
  </si>
  <si>
    <t>pAB-sty-liquid</t>
  </si>
  <si>
    <t>W-P-S-SSS-R1</t>
  </si>
  <si>
    <t>SSA</t>
  </si>
  <si>
    <t>1/500</t>
  </si>
  <si>
    <t>Bottom</t>
  </si>
  <si>
    <t>Wed Apr 22 08:25:44 2015</t>
  </si>
  <si>
    <t>W-P-S-SSS-R2</t>
  </si>
  <si>
    <t>SSB</t>
  </si>
  <si>
    <t>Wed Apr 22 08:25:58 2015</t>
  </si>
  <si>
    <t>W-P-S-SSS-R3</t>
  </si>
  <si>
    <t>SSC</t>
  </si>
  <si>
    <t>Wed Apr 22 08:26:11 2015</t>
  </si>
  <si>
    <t>W-P-S-SP01-R1</t>
  </si>
  <si>
    <t>P1A</t>
  </si>
  <si>
    <t>Wed Apr 22 08:26:44 2015</t>
  </si>
  <si>
    <t>W-P-S-SP01-R2</t>
  </si>
  <si>
    <t>P1B</t>
  </si>
  <si>
    <t>Wed Apr 22 08:27:01 2015</t>
  </si>
  <si>
    <t>W-P-S-SP01-R3</t>
  </si>
  <si>
    <t>P1C</t>
  </si>
  <si>
    <t>Wed Apr 22 08:27:13 2015</t>
  </si>
  <si>
    <t>W-P-S-SP02-R1</t>
  </si>
  <si>
    <t>P2A</t>
  </si>
  <si>
    <t>Wed Apr 22 08:27:25 2015</t>
  </si>
  <si>
    <t>W-P-S-SP02-R2</t>
  </si>
  <si>
    <t>P2B</t>
  </si>
  <si>
    <t>Wed Apr 22 08:27:39 2015</t>
  </si>
  <si>
    <t>W-P-S-SP02-R3</t>
  </si>
  <si>
    <t>P2C</t>
  </si>
  <si>
    <t>Wed Apr 22 08:27:53 2015</t>
  </si>
  <si>
    <t>W-P-S-SP03-R1</t>
  </si>
  <si>
    <t>P3A</t>
  </si>
  <si>
    <t>Wed Apr 22 08:28:08 2015</t>
  </si>
  <si>
    <t>11.1</t>
  </si>
  <si>
    <t>W-P-S-SP03-R2</t>
  </si>
  <si>
    <t>P3B</t>
  </si>
  <si>
    <t>Wed Apr 22 08:28:21 2015</t>
  </si>
  <si>
    <t>12.1</t>
  </si>
  <si>
    <t>W-P-S-SP03-R3</t>
  </si>
  <si>
    <t>P3C</t>
  </si>
  <si>
    <t>Wed Apr 22 08:28:33 2015</t>
  </si>
  <si>
    <t>pAB-poly-aerosol</t>
  </si>
  <si>
    <t>13.1</t>
  </si>
  <si>
    <t>D-P-S-PP01-R1</t>
  </si>
  <si>
    <t>pOLY-AEROSOL-P1A</t>
  </si>
  <si>
    <t>Wed Apr 22 08:29:21 2015</t>
  </si>
  <si>
    <t>13.2</t>
  </si>
  <si>
    <t>D-P-S-PP01-R2</t>
  </si>
  <si>
    <t>pOLY-AEROSOL-P1B</t>
  </si>
  <si>
    <t>Wed Apr 22 08:29:42 2015</t>
  </si>
  <si>
    <t>13.3</t>
  </si>
  <si>
    <t>D-P-S-PP01-R3</t>
  </si>
  <si>
    <t>pOLY-AEROSOL-P1C</t>
  </si>
  <si>
    <t>Wed Apr 22 08:29:55 2015</t>
  </si>
  <si>
    <t>13</t>
  </si>
  <si>
    <t>14.1</t>
  </si>
  <si>
    <t>D-P-S-P02-R1</t>
  </si>
  <si>
    <t>E2A</t>
  </si>
  <si>
    <t>Wed Apr 22 08:30:23 2015</t>
  </si>
  <si>
    <t>14.2</t>
  </si>
  <si>
    <t>D-P-S-P02-R2</t>
  </si>
  <si>
    <t>E2B</t>
  </si>
  <si>
    <t>Wed Apr 22 08:30:34 2015</t>
  </si>
  <si>
    <t>14.3</t>
  </si>
  <si>
    <t>D-P-S-P02-R3</t>
  </si>
  <si>
    <t>E2C</t>
  </si>
  <si>
    <t>Wed Apr 22 08:30:48 2015</t>
  </si>
  <si>
    <t>14</t>
  </si>
  <si>
    <t xml:space="preserve">Date:  </t>
  </si>
  <si>
    <t>Dilutions:</t>
  </si>
  <si>
    <r>
      <t>10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</si>
  <si>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10</t>
    </r>
    <r>
      <rPr>
        <vertAlign val="superscript"/>
        <sz val="11"/>
        <color theme="1"/>
        <rFont val="Calibri"/>
        <family val="2"/>
        <scheme val="minor"/>
      </rPr>
      <t>-4</t>
    </r>
  </si>
  <si>
    <r>
      <t>10</t>
    </r>
    <r>
      <rPr>
        <vertAlign val="superscript"/>
        <sz val="11"/>
        <color theme="1"/>
        <rFont val="Calibri"/>
        <family val="2"/>
        <scheme val="minor"/>
      </rPr>
      <t>-2</t>
    </r>
  </si>
  <si>
    <r>
      <t>10</t>
    </r>
    <r>
      <rPr>
        <vertAlign val="superscript"/>
        <sz val="11"/>
        <color theme="1"/>
        <rFont val="Calibri"/>
        <family val="2"/>
        <scheme val="minor"/>
      </rPr>
      <t>-5</t>
    </r>
  </si>
  <si>
    <r>
      <t>10</t>
    </r>
    <r>
      <rPr>
        <vertAlign val="superscript"/>
        <sz val="11"/>
        <color theme="1"/>
        <rFont val="Calibri"/>
        <family val="2"/>
        <scheme val="minor"/>
      </rPr>
      <t>-3</t>
    </r>
  </si>
  <si>
    <r>
      <t>10</t>
    </r>
    <r>
      <rPr>
        <vertAlign val="superscript"/>
        <sz val="11"/>
        <color theme="1"/>
        <rFont val="Calibri"/>
        <family val="2"/>
        <scheme val="minor"/>
      </rPr>
      <t>-6</t>
    </r>
  </si>
  <si>
    <t>Sample</t>
  </si>
  <si>
    <t>Sample ID</t>
  </si>
  <si>
    <t>Rep</t>
  </si>
  <si>
    <t>CFU</t>
  </si>
  <si>
    <t>Plated/Filter Vol (mL)</t>
  </si>
  <si>
    <t>Tube Dilution</t>
  </si>
  <si>
    <t>Spore Abun</t>
  </si>
  <si>
    <t>Standard</t>
  </si>
  <si>
    <t>Avg. Spore Abun</t>
  </si>
  <si>
    <t>Deviation</t>
  </si>
  <si>
    <t>Spore Prep</t>
  </si>
  <si>
    <t>A</t>
  </si>
  <si>
    <t>B</t>
  </si>
  <si>
    <t>C</t>
  </si>
  <si>
    <t>Stainless Steel</t>
  </si>
  <si>
    <t>W-B-S-SSC-R1</t>
  </si>
  <si>
    <t>W-B-S-SSC-R2</t>
  </si>
  <si>
    <t>W-B-S-SSC-R3</t>
  </si>
  <si>
    <t>Positive 1</t>
  </si>
  <si>
    <t>W-B-S-CP01-R1</t>
  </si>
  <si>
    <t>% of initial</t>
  </si>
  <si>
    <t>W-B-S-CP01-R2</t>
  </si>
  <si>
    <t>Stdev</t>
  </si>
  <si>
    <t>W-B-S-CP01-R3</t>
  </si>
  <si>
    <t>Positive 2</t>
  </si>
  <si>
    <t>W-B-S-CP02-R2</t>
  </si>
  <si>
    <t>W-B-S-CP02-R3</t>
  </si>
  <si>
    <t>Positive 3</t>
  </si>
  <si>
    <t>W-B-S-CP03-R1</t>
  </si>
  <si>
    <t>W-B-S-CP03-R2</t>
  </si>
  <si>
    <t>W-B-S-CP03-R3</t>
  </si>
  <si>
    <t>Experimental 1</t>
  </si>
  <si>
    <t>W-B-S-C01-R1</t>
  </si>
  <si>
    <t>W-B-S-C01-R2</t>
  </si>
  <si>
    <t>W-B-S-C01-R3</t>
  </si>
  <si>
    <t>Experimental 2</t>
  </si>
  <si>
    <t>W-B-S-C02-R1</t>
  </si>
  <si>
    <t>W-B-S-C02-R2</t>
  </si>
  <si>
    <t>W-B-S-C02-R3</t>
  </si>
  <si>
    <t>Experimental 3</t>
  </si>
  <si>
    <t>W-B-S-C03-R1</t>
  </si>
  <si>
    <t>W-B-S-C03-R2</t>
  </si>
  <si>
    <t>W-B-S-C03-R3</t>
  </si>
  <si>
    <t>Experimental 4</t>
  </si>
  <si>
    <t>W-B-S-C04-R1</t>
  </si>
  <si>
    <t>W-B-S-C04-R2</t>
  </si>
  <si>
    <t>W-B-S-C04-R3</t>
  </si>
  <si>
    <t>Experimental 5</t>
  </si>
  <si>
    <t>W-B-S-C05-R1</t>
  </si>
  <si>
    <t>W-B-S-C05-R2</t>
  </si>
  <si>
    <t>W-B-S-C05-R3</t>
  </si>
  <si>
    <t>Negative</t>
  </si>
  <si>
    <t>W-B-S-CN</t>
  </si>
  <si>
    <t>W-B-S-SSS-R1</t>
  </si>
  <si>
    <t>W-B-S-SSS-R2</t>
  </si>
  <si>
    <t>W-B-S-SSS-R3</t>
  </si>
  <si>
    <t>W-B-S-SP01-R1</t>
  </si>
  <si>
    <t>W-B-S-SP01-R2</t>
  </si>
  <si>
    <t>W-B-S-SP01-R3</t>
  </si>
  <si>
    <t>W-B-S-SP02-R1</t>
  </si>
  <si>
    <t>W-B-S-SP02-R2</t>
  </si>
  <si>
    <t>W-B-S-SP02-R3</t>
  </si>
  <si>
    <t>W-B-S-SP03-R1</t>
  </si>
  <si>
    <t>W-B-S-SP03-R2</t>
  </si>
  <si>
    <t>W-B-S-SP03-R3</t>
  </si>
  <si>
    <t>W-B-S-S01-R1</t>
  </si>
  <si>
    <t>W-B-S-S01-R2</t>
  </si>
  <si>
    <t>W-B-S-S01-R3</t>
  </si>
  <si>
    <t>W-B-S-S02-R1</t>
  </si>
  <si>
    <t>W-B-S-S02-R2</t>
  </si>
  <si>
    <t>W-B-S-S02-R3</t>
  </si>
  <si>
    <t>W-B-S-S03-R1</t>
  </si>
  <si>
    <t>W-B-S-S03-R2</t>
  </si>
  <si>
    <t>W-B-S-S03-R3</t>
  </si>
  <si>
    <t>W-B-S-S04-R1</t>
  </si>
  <si>
    <t>W-B-S-S04-R2</t>
  </si>
  <si>
    <t>W-B-S-S04-R3</t>
  </si>
  <si>
    <t>W-B-S-S05-R1</t>
  </si>
  <si>
    <t>W-B-S-S05-R2</t>
  </si>
  <si>
    <t>W-B-S-S05-R3</t>
  </si>
  <si>
    <t>W-B-S-SN</t>
  </si>
  <si>
    <t>W-B-S-SSP-R1</t>
  </si>
  <si>
    <t>W-B-S-SSP-R2</t>
  </si>
  <si>
    <t>W-B-S-SSP-R3</t>
  </si>
  <si>
    <t>W-B-S-PP01-R1</t>
  </si>
  <si>
    <t>W-B-S-PP01-R2</t>
  </si>
  <si>
    <t>W-B-S-PP01-R3</t>
  </si>
  <si>
    <t>W-B-S-PP02-R1</t>
  </si>
  <si>
    <t>W-B-S-PP02-R2</t>
  </si>
  <si>
    <t>W-B-S-PP02-R3</t>
  </si>
  <si>
    <t>W-B-S-PP03-R1</t>
  </si>
  <si>
    <t>W-B-S-PP03-R2</t>
  </si>
  <si>
    <t>W-B-S-PP03-R3</t>
  </si>
  <si>
    <t>W-B-S-P01-R1</t>
  </si>
  <si>
    <t>W-B-S-P01-R2</t>
  </si>
  <si>
    <t>W-B-S-P01-R3</t>
  </si>
  <si>
    <t>W-B-S-P02-R1</t>
  </si>
  <si>
    <t>W-B-S-P02-R2</t>
  </si>
  <si>
    <t>W-B-S-P02-R3</t>
  </si>
  <si>
    <t>W-B-S-P03-R1</t>
  </si>
  <si>
    <t>W-B-S-P03-R2</t>
  </si>
  <si>
    <t>W-B-S-P03-R3</t>
  </si>
  <si>
    <t>W-B-S-P04-R1</t>
  </si>
  <si>
    <t>W-B-S-P04-R2</t>
  </si>
  <si>
    <t>W-B-S-P04-R3</t>
  </si>
  <si>
    <t>W-B-S-P05-R1</t>
  </si>
  <si>
    <t>W-B-S-P05-R2</t>
  </si>
  <si>
    <t>W-B-S-P05-R3</t>
  </si>
  <si>
    <t>W-B-S-PN</t>
  </si>
  <si>
    <t>D-P-S-SSC-R1</t>
  </si>
  <si>
    <t>1/250</t>
  </si>
  <si>
    <t>Fri Mar 13 07:15:43 2015</t>
  </si>
  <si>
    <t>D-P-S-SSC-R2</t>
  </si>
  <si>
    <t>Fri Mar 13 07:15:55 2015</t>
  </si>
  <si>
    <t>D-P-S-SSC-R3</t>
  </si>
  <si>
    <t>Fri Mar 13 07:16:09 2015</t>
  </si>
  <si>
    <t>D-P-S-CP01-01</t>
  </si>
  <si>
    <t>Fri Mar 13 07:16:36 2015</t>
  </si>
  <si>
    <t>D-P-S-CP01-02</t>
  </si>
  <si>
    <t>Fri Mar 13 07:16:52 2015</t>
  </si>
  <si>
    <t>D-P-S-CP01-03</t>
  </si>
  <si>
    <t>Fri Mar 13 07:17:16 2015</t>
  </si>
  <si>
    <t>D-P-S-CP02-01</t>
  </si>
  <si>
    <t>Fri Mar 13 07:17:44 2015</t>
  </si>
  <si>
    <t>D-P-S-CP02-02</t>
  </si>
  <si>
    <t>Fri Mar 13 07:18:13 2015</t>
  </si>
  <si>
    <t>D-P-S-CP02-03</t>
  </si>
  <si>
    <t>Fri Mar 13 07:18:28 2015</t>
  </si>
  <si>
    <t>D-P-S-CP03-01</t>
  </si>
  <si>
    <t>Fri Mar 13 07:19:04 2015</t>
  </si>
  <si>
    <t>D-P-S-CP03-02</t>
  </si>
  <si>
    <t>Fri Mar 13 07:19:11 2015</t>
  </si>
  <si>
    <t>D-P-S-CP03-03</t>
  </si>
  <si>
    <t>Fri Mar 13 07:19:26 2015</t>
  </si>
  <si>
    <t>D-P-S-C01-R1</t>
  </si>
  <si>
    <t>E1A</t>
  </si>
  <si>
    <t>Fri Mar 13 07:20:02 2015</t>
  </si>
  <si>
    <t>D-P-S-C01-R2</t>
  </si>
  <si>
    <t>E1B</t>
  </si>
  <si>
    <t>Fri Mar 13 07:20:17 2015</t>
  </si>
  <si>
    <t>15.1</t>
  </si>
  <si>
    <t>D-P-S-C01-R3</t>
  </si>
  <si>
    <t>E1C</t>
  </si>
  <si>
    <t>Fri Mar 13 07:20:30 2015</t>
  </si>
  <si>
    <t>16.1</t>
  </si>
  <si>
    <t>D-P-S-C02-R1</t>
  </si>
  <si>
    <t>Fri Mar 13 07:20:59 2015</t>
  </si>
  <si>
    <t>17.1</t>
  </si>
  <si>
    <t>D-P-S-C02-R2</t>
  </si>
  <si>
    <t>Fri Mar 13 07:21:11 2015</t>
  </si>
  <si>
    <t>18.1</t>
  </si>
  <si>
    <t>D-P-S-C02-R3</t>
  </si>
  <si>
    <t>Fri Mar 13 07:21:22 2015</t>
  </si>
  <si>
    <t>19.1</t>
  </si>
  <si>
    <t>D-P-S-C03-R1</t>
  </si>
  <si>
    <t>E3A</t>
  </si>
  <si>
    <t>Fri Mar 13 07:21:47 2015</t>
  </si>
  <si>
    <t>20.1</t>
  </si>
  <si>
    <t>D-P-S-C03-R2</t>
  </si>
  <si>
    <t>E3B</t>
  </si>
  <si>
    <t>Fri Mar 13 07:21:59 2015</t>
  </si>
  <si>
    <t>21.1</t>
  </si>
  <si>
    <t>D-P-S-C03-R3</t>
  </si>
  <si>
    <t>E3C</t>
  </si>
  <si>
    <t>Fri Mar 13 07:22:11 2015</t>
  </si>
  <si>
    <t>22.1</t>
  </si>
  <si>
    <t>D-P-S-C04-R1</t>
  </si>
  <si>
    <t>E4A</t>
  </si>
  <si>
    <t>Fri Mar 13 07:22:42 2015</t>
  </si>
  <si>
    <t>23.1</t>
  </si>
  <si>
    <t>D-P-S-C04-R2</t>
  </si>
  <si>
    <t>E4B</t>
  </si>
  <si>
    <t>Fri Mar 13 07:22:55 2015</t>
  </si>
  <si>
    <t>24.1</t>
  </si>
  <si>
    <t>D-P-S-C04-R3</t>
  </si>
  <si>
    <t>E4C</t>
  </si>
  <si>
    <t>Fri Mar 13 07:23:06 2015</t>
  </si>
  <si>
    <t>25.1</t>
  </si>
  <si>
    <t>D-P-S-C05-R1</t>
  </si>
  <si>
    <t>E5A</t>
  </si>
  <si>
    <t>Fri Mar 13 07:23:22 2015</t>
  </si>
  <si>
    <t>26.1</t>
  </si>
  <si>
    <t>D-P-S-C05-R2</t>
  </si>
  <si>
    <t>E5B</t>
  </si>
  <si>
    <t>Fri Mar 13 07:23:35 2015</t>
  </si>
  <si>
    <t>27.1</t>
  </si>
  <si>
    <t>D-P-S-C05-R3</t>
  </si>
  <si>
    <t>E5C</t>
  </si>
  <si>
    <t>Fri Mar 13 07:23:48 2015</t>
  </si>
  <si>
    <t>E3 has 500 ul</t>
  </si>
  <si>
    <t>Pos. CFU avg</t>
  </si>
  <si>
    <t>SE</t>
  </si>
  <si>
    <t>Pos. CFU stdev</t>
  </si>
  <si>
    <t>Test CFU avg</t>
  </si>
  <si>
    <t>Reduction</t>
  </si>
  <si>
    <t>Test CFU stdev</t>
  </si>
  <si>
    <t>D-P-S-SSS-R1</t>
  </si>
  <si>
    <t>Fri Mar 20 08:11:50 2015</t>
  </si>
  <si>
    <t>D-P-S-SSS-R2</t>
  </si>
  <si>
    <t>Fri Mar 20 08:12:04 2015</t>
  </si>
  <si>
    <t>D-P-S-SSS-R3</t>
  </si>
  <si>
    <t>Fri Mar 20 08:12:20 2015</t>
  </si>
  <si>
    <t>D-P-S-SP01-01</t>
  </si>
  <si>
    <t>Fri Mar 20 08:12:40 2015</t>
  </si>
  <si>
    <t>D-P-S-SP01-02</t>
  </si>
  <si>
    <t>Fri Mar 20 08:13:09 2015</t>
  </si>
  <si>
    <t>D-P-S-SP01-03</t>
  </si>
  <si>
    <t>Fri Mar 20 08:13:17 2015</t>
  </si>
  <si>
    <t>D-P-S-SP02-01</t>
  </si>
  <si>
    <t>Fri Mar 20 08:13:39 2015</t>
  </si>
  <si>
    <t>D-P-S-SP02-02</t>
  </si>
  <si>
    <t>Fri Mar 20 08:13:51 2015</t>
  </si>
  <si>
    <t>D-P-S-SP02-03</t>
  </si>
  <si>
    <t>Fri Mar 20 08:14:06 2015</t>
  </si>
  <si>
    <t>D-P-S-SP03-01</t>
  </si>
  <si>
    <t>Fri Mar 20 08:14:25 2015</t>
  </si>
  <si>
    <t>D-P-S-SP03-02</t>
  </si>
  <si>
    <t>Fri Mar 20 08:14:37 2015</t>
  </si>
  <si>
    <t>D-P-S-SP03-03</t>
  </si>
  <si>
    <t>Fri Mar 20 08:14:50 2015</t>
  </si>
  <si>
    <t>D-P-S-S01-R1</t>
  </si>
  <si>
    <t>Fri Mar 20 08:15:10 2015</t>
  </si>
  <si>
    <t>D-P-S-S01-R2</t>
  </si>
  <si>
    <t>Fri Mar 20 08:15:23 2015</t>
  </si>
  <si>
    <t>D-P-S-S01-R3</t>
  </si>
  <si>
    <t>Fri Mar 20 08:15:35 2015</t>
  </si>
  <si>
    <t>D-P-S-S02-R1</t>
  </si>
  <si>
    <t>Fri Mar 20 08:15:53 2015</t>
  </si>
  <si>
    <t>D-P-S-S02-R2</t>
  </si>
  <si>
    <t>Fri Mar 20 08:16:04 2015</t>
  </si>
  <si>
    <t>D-P-S-S02-R3</t>
  </si>
  <si>
    <t>Fri Mar 20 08:16:13 2015</t>
  </si>
  <si>
    <t>D-P-S-S03-R1</t>
  </si>
  <si>
    <t>Fri Mar 20 08:16:35 2015</t>
  </si>
  <si>
    <t>D-P-S-S03-R2</t>
  </si>
  <si>
    <t>Fri Mar 20 08:16:47 2015</t>
  </si>
  <si>
    <t>D-P-S-S03-R3</t>
  </si>
  <si>
    <t>Fri Mar 20 08:16:58 2015</t>
  </si>
  <si>
    <t>D-P-S-S04-R1</t>
  </si>
  <si>
    <t>Fri Mar 20 08:17:13 2015</t>
  </si>
  <si>
    <t>D-P-S-S04-R2</t>
  </si>
  <si>
    <t>Fri Mar 20 08:17:27 2015</t>
  </si>
  <si>
    <t>D-P-S-S04-R3</t>
  </si>
  <si>
    <t>Fri Mar 20 08:17:40 2015</t>
  </si>
  <si>
    <t>Pos CFU avg</t>
  </si>
  <si>
    <t xml:space="preserve">SE </t>
  </si>
  <si>
    <t>Pos CFU stdev</t>
  </si>
  <si>
    <t>E5</t>
  </si>
  <si>
    <t>D-P-S-S05-R1</t>
  </si>
  <si>
    <t>pAB-sty-aero</t>
  </si>
  <si>
    <t>Thu Apr 16 08:36:05 2015</t>
  </si>
  <si>
    <t>D-P-S-S5-R2</t>
  </si>
  <si>
    <t>pAB-sty-aeroB</t>
  </si>
  <si>
    <t>Thu Apr 16 08:36:40 2015</t>
  </si>
  <si>
    <t>D-P-S-S05-R3</t>
  </si>
  <si>
    <t>pAB-sty-aerC</t>
  </si>
  <si>
    <t>Thu Apr 16 08:37:09 2015</t>
  </si>
  <si>
    <t>D-P-S-SSP-R1</t>
  </si>
  <si>
    <t>Fri Apr 03 08:17:53 2015</t>
  </si>
  <si>
    <t>D-P-S-SSP-R2</t>
  </si>
  <si>
    <t>Fri Apr 03 08:18:07 2015</t>
  </si>
  <si>
    <t>D-P-S-SSP-R3</t>
  </si>
  <si>
    <t>Fri Apr 03 08:18:25 2015</t>
  </si>
  <si>
    <t>Fri Apr 03 08:19:09 2015</t>
  </si>
  <si>
    <t>D-P-S-PP02-R1</t>
  </si>
  <si>
    <t>Fri Apr 03 08:20:33 2015</t>
  </si>
  <si>
    <t>D-P-S-PP02-R2</t>
  </si>
  <si>
    <t>Fri Apr 03 08:20:45 2015</t>
  </si>
  <si>
    <t>D-P-S-PP02-R3</t>
  </si>
  <si>
    <t>Fri Apr 03 08:21:33 2015</t>
  </si>
  <si>
    <t>Fri Apr 03 08:22:21 2015</t>
  </si>
  <si>
    <t>D-P-S-PP03-R1</t>
  </si>
  <si>
    <t>Fri Apr 03 08:22:47 2015</t>
  </si>
  <si>
    <t>D-P-S-PP03-R2</t>
  </si>
  <si>
    <t>Fri Apr 03 08:23:03 2015</t>
  </si>
  <si>
    <t>D-P-S-PP03-R3</t>
  </si>
  <si>
    <t>Fri Apr 03 08:23:18 2015</t>
  </si>
  <si>
    <t>D-P-S-P01-R1</t>
  </si>
  <si>
    <t>Fri Apr 03 08:23:48 2015</t>
  </si>
  <si>
    <t>D-P-S-P01-R2</t>
  </si>
  <si>
    <t>Fri Apr 03 08:24:08 2015</t>
  </si>
  <si>
    <t>D-P-S-P01-R3</t>
  </si>
  <si>
    <t>Fri Apr 03 08:24:22 2015</t>
  </si>
  <si>
    <t>Fri Apr 03 08:25:33 2015</t>
  </si>
  <si>
    <t>Fri Apr 03 08:25:42 2015</t>
  </si>
  <si>
    <t>D-P-S-P03-R1</t>
  </si>
  <si>
    <t>Fri Apr 03 08:26:05 2015</t>
  </si>
  <si>
    <t>D-P-S-P03-R2</t>
  </si>
  <si>
    <t>Fri Apr 03 08:26:16 2015</t>
  </si>
  <si>
    <t>D-P-S-P03-R3</t>
  </si>
  <si>
    <t>Fri Apr 03 08:26:29 2015</t>
  </si>
  <si>
    <t>D-P-S-P04-R1</t>
  </si>
  <si>
    <t>Fri Apr 03 08:26:50 2015</t>
  </si>
  <si>
    <t>D-P-S-P04-R2</t>
  </si>
  <si>
    <t>Fri Apr 03 08:27:06 2015</t>
  </si>
  <si>
    <t>D-P-S-P04-R3</t>
  </si>
  <si>
    <t>Fri Apr 03 08:27:23 2015</t>
  </si>
  <si>
    <t>D-P-S-P05-R1</t>
  </si>
  <si>
    <t>Fri Apr 03 08:27:51 2015</t>
  </si>
  <si>
    <t>D-P-S-P05-R2</t>
  </si>
  <si>
    <t>Fri Apr 03 08:28:03 2015</t>
  </si>
  <si>
    <t>D-P-S-P05-R3</t>
  </si>
  <si>
    <t>Fri Apr 03 08:28:20 2015</t>
  </si>
  <si>
    <t>D-B-S-SP02-R1</t>
  </si>
  <si>
    <t>PSA</t>
  </si>
  <si>
    <t>Fri Apr 03 08:28:48 2015</t>
  </si>
  <si>
    <t>D-B-S-SP02-R2</t>
  </si>
  <si>
    <t>PSB</t>
  </si>
  <si>
    <t>Fri Apr 03 08:29:06 2015</t>
  </si>
  <si>
    <t>28.1</t>
  </si>
  <si>
    <t>D-B-S-SP02-R3</t>
  </si>
  <si>
    <t>PSC</t>
  </si>
  <si>
    <t>Fri Apr 03 08:29:22 2015</t>
  </si>
  <si>
    <t>P1 from 4/22/15</t>
  </si>
  <si>
    <t>E2 from 4/22/15</t>
  </si>
  <si>
    <t>Volume</t>
  </si>
  <si>
    <t>Avg. total CFU</t>
  </si>
  <si>
    <t>D-B-S-PP01-R1</t>
  </si>
  <si>
    <t>P1S A</t>
  </si>
  <si>
    <t>Wed Jan 21 08:11:23 2015</t>
  </si>
  <si>
    <t>D-B-S-PP01-R2</t>
  </si>
  <si>
    <t>P1S B</t>
  </si>
  <si>
    <t>Wed Jan 21 08:11:42 2015</t>
  </si>
  <si>
    <t>D-B-S-PP01-R3</t>
  </si>
  <si>
    <t>P1S C</t>
  </si>
  <si>
    <t>Wed Jan 21 08:12:02 2015</t>
  </si>
  <si>
    <t>D-B-S-PP02-R1</t>
  </si>
  <si>
    <t>P2S A</t>
  </si>
  <si>
    <t>Wed Jan 21 08:12:19 2015</t>
  </si>
  <si>
    <t>D-B-S-PP02-R2</t>
  </si>
  <si>
    <t>P2S B</t>
  </si>
  <si>
    <t>Wed Jan 21 08:12:37 2015</t>
  </si>
  <si>
    <t>D-B-S-PP02-R3</t>
  </si>
  <si>
    <t>P2S C</t>
  </si>
  <si>
    <t>Wed Jan 21 08:12:53 2015</t>
  </si>
  <si>
    <t>D-B-S-PP03-R1</t>
  </si>
  <si>
    <t>P3S A</t>
  </si>
  <si>
    <t>Wed Jan 21 08:13:08 2015</t>
  </si>
  <si>
    <t>D-B-S-PP03-R2</t>
  </si>
  <si>
    <t>P3S B</t>
  </si>
  <si>
    <t>Wed Jan 21 08:13:24 2015</t>
  </si>
  <si>
    <t>D-B-S-PP03-R3</t>
  </si>
  <si>
    <t>P3S C</t>
  </si>
  <si>
    <t>Wed Jan 21 08:13:50 2015</t>
  </si>
  <si>
    <t>D-B-S-SSC-R1</t>
  </si>
  <si>
    <t>SSC A</t>
  </si>
  <si>
    <t>Wed Jan 21 08:15:23 2015</t>
  </si>
  <si>
    <t>D-B-S-SSC-R2</t>
  </si>
  <si>
    <t>SSC B</t>
  </si>
  <si>
    <t>Wed Jan 21 08:15:39 2015</t>
  </si>
  <si>
    <t>D-B-S-SSC-R3</t>
  </si>
  <si>
    <t>SSC C</t>
  </si>
  <si>
    <t>Wed Jan 21 08:15:54 2015</t>
  </si>
  <si>
    <t>D-B-S-CP01-R1</t>
  </si>
  <si>
    <t>P1C A</t>
  </si>
  <si>
    <t>Wed Jan 21 08:16:26 2015</t>
  </si>
  <si>
    <t>D-B-S-CP01-R2</t>
  </si>
  <si>
    <t>P1C B</t>
  </si>
  <si>
    <t>Wed Jan 21 08:16:37 2015</t>
  </si>
  <si>
    <t>D-B-S-CP01-R3</t>
  </si>
  <si>
    <t>P1C C</t>
  </si>
  <si>
    <t>Wed Jan 21 08:16:51 2015</t>
  </si>
  <si>
    <t>D-B-S-CP02-R1</t>
  </si>
  <si>
    <t>P2C A</t>
  </si>
  <si>
    <t>Wed Jan 21 08:17:10 2015</t>
  </si>
  <si>
    <t>D-B-S-CP02-R2</t>
  </si>
  <si>
    <t>P2C B</t>
  </si>
  <si>
    <t>Wed Jan 21 08:17:23 2015</t>
  </si>
  <si>
    <t>D-B-S-CP02-R3</t>
  </si>
  <si>
    <t>P2C C</t>
  </si>
  <si>
    <t>Wed Jan 21 08:17:38 2015</t>
  </si>
  <si>
    <t>D-B-S-CP03-R1</t>
  </si>
  <si>
    <t>P3C A</t>
  </si>
  <si>
    <t>Wed Jan 21 08:17:59 2015</t>
  </si>
  <si>
    <t>D-B-S-CP03-R2</t>
  </si>
  <si>
    <t>P3C B</t>
  </si>
  <si>
    <t>Wed Jan 21 08:18:20 2015</t>
  </si>
  <si>
    <t>D-B-S-CP03-R3</t>
  </si>
  <si>
    <t>P3C C</t>
  </si>
  <si>
    <t>Wed Jan 21 08:18:35 2015</t>
  </si>
  <si>
    <t>D-B-S-C02-R1</t>
  </si>
  <si>
    <t>E2 A</t>
  </si>
  <si>
    <t>Wed Jan 21 08:18:53 2015</t>
  </si>
  <si>
    <t>D-B-S-C02-R2</t>
  </si>
  <si>
    <t>E2 B</t>
  </si>
  <si>
    <t>Wed Jan 21 08:19:05 2015</t>
  </si>
  <si>
    <t>D-B-S-C02-R3</t>
  </si>
  <si>
    <t>E2 C</t>
  </si>
  <si>
    <t>Wed Jan 21 08:19:27 2015</t>
  </si>
  <si>
    <t>D-B-S-C05</t>
  </si>
  <si>
    <t>E5 FIL</t>
  </si>
  <si>
    <t>Pour</t>
  </si>
  <si>
    <t>Circular</t>
  </si>
  <si>
    <t>Wed Jan 21 08:21:13 2015</t>
  </si>
  <si>
    <t>D-B-S-C03</t>
  </si>
  <si>
    <t>E3 FIL</t>
  </si>
  <si>
    <t>Wed Jan 21 08:22:06 2015</t>
  </si>
  <si>
    <t>S=polyethylene</t>
  </si>
  <si>
    <t>Cardboard</t>
  </si>
  <si>
    <t>Polyethylene</t>
  </si>
  <si>
    <t>C=cardboard</t>
  </si>
  <si>
    <t>Pos. CFU std</t>
  </si>
  <si>
    <t>Cardboard Filter 2/13/15</t>
  </si>
  <si>
    <t>Polyethylene Filter 2/13/15</t>
  </si>
  <si>
    <t>PE samples from 1/29/15</t>
  </si>
  <si>
    <t>Total</t>
  </si>
  <si>
    <t>D-B-S-C01</t>
  </si>
  <si>
    <t>E1 all</t>
  </si>
  <si>
    <t>D-B-S-P03</t>
  </si>
  <si>
    <t>E3 all</t>
  </si>
  <si>
    <t>D-B-S-P01</t>
  </si>
  <si>
    <t>PE1 500 ul</t>
  </si>
  <si>
    <t>D-B-S-C04</t>
  </si>
  <si>
    <t>E4 all</t>
  </si>
  <si>
    <t>D-B-S-P04</t>
  </si>
  <si>
    <t>D-B-S-P02</t>
  </si>
  <si>
    <t>PE2 all</t>
  </si>
  <si>
    <t>D-B-S-P05</t>
  </si>
  <si>
    <t>E5 all</t>
  </si>
  <si>
    <t>E1</t>
  </si>
  <si>
    <t>PE1</t>
  </si>
  <si>
    <t>E2</t>
  </si>
  <si>
    <t>PE2</t>
  </si>
  <si>
    <t>E3</t>
  </si>
  <si>
    <t>E4</t>
  </si>
  <si>
    <t>AVG</t>
  </si>
  <si>
    <t>STDEV</t>
  </si>
  <si>
    <t>Total Volume</t>
  </si>
  <si>
    <t>D-B-S-SP01-R1</t>
  </si>
  <si>
    <t>P1 A</t>
  </si>
  <si>
    <t>Fri Jan 30 08:05:48 2015</t>
  </si>
  <si>
    <t>D-B-S-SP01-R2</t>
  </si>
  <si>
    <t>P1 B</t>
  </si>
  <si>
    <t>Fri Jan 30 08:06:03 2015</t>
  </si>
  <si>
    <t>D-B-S-SP01-R3</t>
  </si>
  <si>
    <t>P1 C</t>
  </si>
  <si>
    <t>Fri Jan 30 08:06:16 2015</t>
  </si>
  <si>
    <t>D-B-S-SP03-R1</t>
  </si>
  <si>
    <t>P3 A</t>
  </si>
  <si>
    <t>Fri Jan 30 08:06:37 2015</t>
  </si>
  <si>
    <t>D-B-S-SP03-R2</t>
  </si>
  <si>
    <t>P3 B</t>
  </si>
  <si>
    <t>Fri Jan 30 08:06:51 2015</t>
  </si>
  <si>
    <t>D-B-S-SP03-R3</t>
  </si>
  <si>
    <t>P3 C</t>
  </si>
  <si>
    <t>Fri Jan 30 08:07:05 2015</t>
  </si>
  <si>
    <t>D-B-S-SSS-R1</t>
  </si>
  <si>
    <t>Fri Jan 30 08:07:30 2015</t>
  </si>
  <si>
    <t>D-B-S-SSS-R2</t>
  </si>
  <si>
    <t>Fri Jan 30 08:07:41 2015</t>
  </si>
  <si>
    <t>D-B-S-SSS-R3</t>
  </si>
  <si>
    <t>Fri Jan 30 08:07:56 2015</t>
  </si>
  <si>
    <t>Filter plates</t>
  </si>
  <si>
    <t>Vol</t>
  </si>
  <si>
    <t>D-B-S-S01</t>
  </si>
  <si>
    <t>D-B-S-S02</t>
  </si>
  <si>
    <t>D-B-S-S03</t>
  </si>
  <si>
    <t>D-B-S-S04</t>
  </si>
  <si>
    <t>D-B-S-S05</t>
  </si>
  <si>
    <t>Avg</t>
  </si>
  <si>
    <t>spore reduction</t>
  </si>
  <si>
    <t>From 4/3/15 experiment</t>
  </si>
  <si>
    <t>All filter plates negative for growth except sample P2, which had 2 CFU</t>
  </si>
  <si>
    <t>All samples (CB 1-5 and P1-5, plus all negative controls and plate blanks) have zero growth.</t>
  </si>
  <si>
    <t>Cardboard Positive Control</t>
  </si>
  <si>
    <t>SS Positive Control</t>
  </si>
  <si>
    <t>Cardboard Surface Sample</t>
  </si>
  <si>
    <t>Material Positive Control</t>
  </si>
  <si>
    <t>Material Surface Sample</t>
  </si>
  <si>
    <t>SS</t>
  </si>
  <si>
    <t>REPLATES</t>
  </si>
  <si>
    <t>to ABP tab???</t>
  </si>
  <si>
    <t>SEE LBS TAB</t>
  </si>
  <si>
    <t>liq inoc</t>
  </si>
  <si>
    <t>PAB decon</t>
  </si>
  <si>
    <t>cardboard</t>
  </si>
  <si>
    <t>?</t>
  </si>
  <si>
    <t>Corrugated Fiberboard</t>
  </si>
  <si>
    <t>Liquid Inoculation</t>
  </si>
  <si>
    <t>PAB Spray Decontamination</t>
  </si>
  <si>
    <t>Polystyrene Foam</t>
  </si>
  <si>
    <t>x̅ CFU</t>
  </si>
  <si>
    <t>Bleach Wipe Decontamination</t>
  </si>
  <si>
    <t>Polyethylene Plastic</t>
  </si>
  <si>
    <t>Aerosol Inoculation</t>
  </si>
  <si>
    <t>SS Reference Sample (n=1 per test)</t>
  </si>
  <si>
    <t>CV All</t>
  </si>
  <si>
    <t xml:space="preserve"> % of SS Recovery from POS Ctrl</t>
  </si>
  <si>
    <t>pH-Adjusted Bleach Liquid Spray</t>
  </si>
  <si>
    <t xml:space="preserve"> Post-Decon              (n=5 per test)</t>
  </si>
  <si>
    <t>Positive Controls        (n=3 per test)</t>
  </si>
  <si>
    <r>
      <t xml:space="preserve">Data Files Located in </t>
    </r>
    <r>
      <rPr>
        <b/>
        <i/>
        <sz val="8"/>
        <color rgb="FF000000"/>
        <rFont val="Times New Roman"/>
        <family val="1"/>
      </rPr>
      <t>L:\Lab\DTRL\ORISE\Meyer\Project HS6.02.2.01-Sample Packaging\Raw Data</t>
    </r>
  </si>
  <si>
    <t>LR</t>
  </si>
  <si>
    <t>LOG of CFU</t>
  </si>
  <si>
    <t>manually entered ones for zero result</t>
  </si>
  <si>
    <t>doesn't change averge or cv</t>
  </si>
  <si>
    <t>allows calculation of LR</t>
  </si>
  <si>
    <t>zero result of manually entered one</t>
  </si>
  <si>
    <t>zeros result of manually entered ones</t>
  </si>
  <si>
    <t>n=6 for positive controls for this test as two platers were alose being validated during this test</t>
  </si>
  <si>
    <t>SD</t>
  </si>
  <si>
    <t>Sample Type</t>
  </si>
  <si>
    <t>Test Material</t>
  </si>
  <si>
    <t>Inoculation Method</t>
  </si>
  <si>
    <r>
      <t>Positive Controls</t>
    </r>
    <r>
      <rPr>
        <vertAlign val="superscript"/>
        <sz val="11"/>
        <color theme="1"/>
        <rFont val="Times New Roman"/>
        <family val="1"/>
      </rPr>
      <t>c</t>
    </r>
  </si>
  <si>
    <r>
      <t>Test Coupons</t>
    </r>
    <r>
      <rPr>
        <vertAlign val="superscript"/>
        <sz val="11"/>
        <color theme="1"/>
        <rFont val="Times New Roman"/>
        <family val="1"/>
      </rPr>
      <t>d</t>
    </r>
  </si>
  <si>
    <t>±</t>
  </si>
  <si>
    <r>
      <t>Mean of Observed CFU</t>
    </r>
    <r>
      <rPr>
        <b/>
        <vertAlign val="superscript"/>
        <sz val="11"/>
        <color theme="1"/>
        <rFont val="Times New Roman"/>
        <family val="1"/>
      </rPr>
      <t>a</t>
    </r>
  </si>
  <si>
    <r>
      <rPr>
        <vertAlign val="superscript"/>
        <sz val="11"/>
        <color theme="1"/>
        <rFont val="Times New Roman"/>
        <family val="1"/>
      </rPr>
      <t xml:space="preserve">a </t>
    </r>
    <r>
      <rPr>
        <sz val="11"/>
        <color theme="1"/>
        <rFont val="Times New Roman"/>
        <family val="1"/>
      </rPr>
      <t>Data are expressed as the mean (± SD) of the number of spores (CFU).</t>
    </r>
  </si>
  <si>
    <r>
      <rPr>
        <vertAlign val="superscript"/>
        <sz val="11"/>
        <color theme="1"/>
        <rFont val="Times New Roman"/>
        <family val="1"/>
      </rPr>
      <t>c</t>
    </r>
    <r>
      <rPr>
        <sz val="11"/>
        <color theme="1"/>
        <rFont val="Times New Roman"/>
        <family val="1"/>
      </rPr>
      <t xml:space="preserve"> Positive Controls are inoculated, not decontaminated coupons.</t>
    </r>
  </si>
  <si>
    <r>
      <rPr>
        <vertAlign val="superscript"/>
        <sz val="11"/>
        <color theme="1"/>
        <rFont val="Times New Roman"/>
        <family val="1"/>
      </rPr>
      <t xml:space="preserve">d </t>
    </r>
    <r>
      <rPr>
        <sz val="11"/>
        <color theme="1"/>
        <rFont val="Times New Roman"/>
        <family val="1"/>
      </rPr>
      <t>Test Coupons are inoculated, decontaminated coupons.</t>
    </r>
  </si>
  <si>
    <r>
      <rPr>
        <vertAlign val="superscript"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 xml:space="preserve"> Data are expressed as the mean of logs (± SE) of the estimated log reduction</t>
    </r>
  </si>
  <si>
    <r>
      <t>Decontamination Efficacy</t>
    </r>
    <r>
      <rPr>
        <b/>
        <vertAlign val="superscript"/>
        <sz val="11"/>
        <color theme="1"/>
        <rFont val="Times New Roman"/>
        <family val="1"/>
      </rPr>
      <t>b</t>
    </r>
  </si>
  <si>
    <t>The mean of logs are the log of the geometric mean density of the controls minus the log of the geometric mean density of the test coupons.</t>
  </si>
  <si>
    <t>Test Coupons</t>
  </si>
  <si>
    <t>Positive Controls</t>
  </si>
  <si>
    <t>Positive Control</t>
  </si>
  <si>
    <t>Avg Log</t>
  </si>
  <si>
    <t>Pos Ctrl</t>
  </si>
  <si>
    <t>Log</t>
  </si>
  <si>
    <t>Decontamination Efficacy (Log Reduction)</t>
  </si>
  <si>
    <t>Positive Control Inoculum Level (Log)</t>
  </si>
  <si>
    <r>
      <t>Pos Ctrl</t>
    </r>
    <r>
      <rPr>
        <b/>
        <vertAlign val="superscript"/>
        <sz val="11"/>
        <color theme="1"/>
        <rFont val="Calibri"/>
        <family val="2"/>
        <scheme val="minor"/>
      </rPr>
      <t>a</t>
    </r>
  </si>
  <si>
    <t>Decon efficacy data are expressed as the mean of logs (± SE) of the estimated log reduction</t>
  </si>
  <si>
    <t>Positive Control Data are expressed as the log of the mean (± SE) of the number of spores (CFU).</t>
  </si>
  <si>
    <t>≥ 0</t>
  </si>
  <si>
    <t>Post Decon</t>
  </si>
  <si>
    <t>Log10</t>
  </si>
  <si>
    <t>sd</t>
  </si>
  <si>
    <t>avg</t>
  </si>
  <si>
    <t>Inoculums</t>
  </si>
  <si>
    <t>Std Dev</t>
  </si>
  <si>
    <t xml:space="preserve">aerosol </t>
  </si>
  <si>
    <t>std dev</t>
  </si>
  <si>
    <t>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</si>
</sst>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Wingdings"/>
      <charset val="2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000000"/>
      <name val="Times New Roman"/>
      <family val="1"/>
    </font>
    <font>
      <b/>
      <i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6DDE8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1" fontId="0" fillId="0" borderId="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Alignment="1" applyProtection="1"/>
    <xf numFmtId="2" fontId="0" fillId="0" borderId="0" xfId="0" applyNumberFormat="1" applyFont="1" applyFill="1" applyAlignment="1" applyProtection="1"/>
    <xf numFmtId="0" fontId="6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vertical="center"/>
    </xf>
    <xf numFmtId="11" fontId="0" fillId="0" borderId="1" xfId="0" applyNumberFormat="1" applyFont="1" applyFill="1" applyBorder="1" applyAlignment="1" applyProtection="1"/>
    <xf numFmtId="164" fontId="0" fillId="0" borderId="1" xfId="0" applyNumberFormat="1" applyFont="1" applyFill="1" applyBorder="1" applyAlignment="1" applyProtection="1">
      <alignment vertical="center"/>
    </xf>
    <xf numFmtId="2" fontId="0" fillId="0" borderId="1" xfId="0" applyNumberFormat="1" applyFont="1" applyFill="1" applyBorder="1" applyAlignment="1" applyProtection="1"/>
    <xf numFmtId="0" fontId="0" fillId="0" borderId="5" xfId="0" applyNumberFormat="1" applyFont="1" applyFill="1" applyBorder="1" applyAlignment="1" applyProtection="1"/>
    <xf numFmtId="0" fontId="0" fillId="0" borderId="6" xfId="0" applyNumberFormat="1" applyFont="1" applyFill="1" applyBorder="1" applyAlignment="1" applyProtection="1"/>
    <xf numFmtId="2" fontId="0" fillId="0" borderId="6" xfId="0" applyNumberFormat="1" applyFont="1" applyFill="1" applyBorder="1" applyAlignment="1" applyProtection="1"/>
    <xf numFmtId="165" fontId="0" fillId="0" borderId="0" xfId="1" applyNumberFormat="1" applyFont="1" applyFill="1" applyProtection="1"/>
    <xf numFmtId="2" fontId="6" fillId="0" borderId="0" xfId="0" applyNumberFormat="1" applyFont="1" applyFill="1" applyAlignment="1" applyProtection="1"/>
    <xf numFmtId="11" fontId="0" fillId="0" borderId="0" xfId="0" applyNumberFormat="1" applyFont="1" applyFill="1" applyAlignment="1" applyProtection="1"/>
    <xf numFmtId="1" fontId="0" fillId="0" borderId="0" xfId="0" applyNumberFormat="1" applyFont="1" applyFill="1" applyAlignment="1" applyProtection="1"/>
    <xf numFmtId="0" fontId="6" fillId="0" borderId="0" xfId="0" applyFont="1"/>
    <xf numFmtId="0" fontId="0" fillId="0" borderId="1" xfId="0" applyBorder="1" applyAlignment="1">
      <alignment horizontal="center" vertical="center" wrapText="1"/>
    </xf>
    <xf numFmtId="11" fontId="0" fillId="0" borderId="0" xfId="0" applyNumberFormat="1"/>
    <xf numFmtId="0" fontId="7" fillId="0" borderId="0" xfId="0" applyNumberFormat="1" applyFont="1" applyFill="1" applyAlignment="1" applyProtection="1">
      <alignment vertical="center"/>
    </xf>
    <xf numFmtId="2" fontId="7" fillId="0" borderId="0" xfId="0" applyNumberFormat="1" applyFont="1" applyFill="1" applyAlignment="1" applyProtection="1">
      <alignment vertical="center"/>
    </xf>
    <xf numFmtId="11" fontId="7" fillId="0" borderId="0" xfId="0" applyNumberFormat="1" applyFont="1" applyFill="1" applyAlignment="1" applyProtection="1">
      <alignment vertical="center"/>
    </xf>
    <xf numFmtId="1" fontId="7" fillId="0" borderId="0" xfId="0" applyNumberFormat="1" applyFont="1" applyFill="1" applyAlignment="1" applyProtection="1">
      <alignment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vertical="center"/>
    </xf>
    <xf numFmtId="0" fontId="8" fillId="0" borderId="0" xfId="0" applyFont="1"/>
    <xf numFmtId="16" fontId="0" fillId="0" borderId="0" xfId="0" quotePrefix="1" applyNumberForma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1" fontId="0" fillId="0" borderId="7" xfId="0" applyNumberFormat="1" applyBorder="1" applyAlignment="1">
      <alignment horizontal="center" vertical="center"/>
    </xf>
    <xf numFmtId="0" fontId="0" fillId="0" borderId="7" xfId="0" applyBorder="1"/>
    <xf numFmtId="11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NumberFormat="1"/>
    <xf numFmtId="11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11" fontId="12" fillId="0" borderId="0" xfId="0" applyNumberFormat="1" applyFont="1"/>
    <xf numFmtId="0" fontId="0" fillId="0" borderId="7" xfId="0" applyNumberFormat="1" applyBorder="1" applyAlignment="1">
      <alignment horizontal="center" vertical="center"/>
    </xf>
    <xf numFmtId="11" fontId="0" fillId="0" borderId="7" xfId="0" applyNumberFormat="1" applyBorder="1" applyAlignment="1">
      <alignment horizontal="center"/>
    </xf>
    <xf numFmtId="0" fontId="0" fillId="0" borderId="4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4" xfId="0" applyBorder="1"/>
    <xf numFmtId="0" fontId="0" fillId="0" borderId="9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/>
    </xf>
    <xf numFmtId="0" fontId="0" fillId="0" borderId="8" xfId="0" applyBorder="1"/>
    <xf numFmtId="0" fontId="0" fillId="0" borderId="0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/>
    </xf>
    <xf numFmtId="0" fontId="6" fillId="0" borderId="0" xfId="0" applyNumberFormat="1" applyFont="1" applyFill="1" applyAlignment="1" applyProtection="1"/>
    <xf numFmtId="11" fontId="6" fillId="0" borderId="0" xfId="0" applyNumberFormat="1" applyFont="1" applyFill="1" applyAlignment="1" applyProtection="1"/>
    <xf numFmtId="0" fontId="0" fillId="0" borderId="1" xfId="0" applyNumberFormat="1" applyFont="1" applyFill="1" applyBorder="1" applyAlignment="1" applyProtection="1"/>
    <xf numFmtId="1" fontId="0" fillId="0" borderId="1" xfId="0" applyNumberFormat="1" applyFont="1" applyFill="1" applyBorder="1" applyAlignment="1" applyProtection="1"/>
    <xf numFmtId="11" fontId="0" fillId="3" borderId="0" xfId="0" applyNumberFormat="1" applyFont="1" applyFill="1" applyAlignment="1" applyProtection="1"/>
    <xf numFmtId="0" fontId="0" fillId="3" borderId="0" xfId="0" applyNumberFormat="1" applyFont="1" applyFill="1" applyAlignment="1" applyProtection="1"/>
    <xf numFmtId="2" fontId="6" fillId="3" borderId="0" xfId="0" applyNumberFormat="1" applyFont="1" applyFill="1" applyAlignment="1" applyProtection="1"/>
    <xf numFmtId="2" fontId="0" fillId="3" borderId="0" xfId="0" applyNumberFormat="1" applyFont="1" applyFill="1" applyAlignment="1" applyProtection="1"/>
    <xf numFmtId="1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1" fontId="4" fillId="0" borderId="8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1" fontId="4" fillId="0" borderId="10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0" fontId="0" fillId="0" borderId="10" xfId="0" applyBorder="1"/>
    <xf numFmtId="0" fontId="2" fillId="0" borderId="1" xfId="0" applyFont="1" applyBorder="1" applyAlignment="1">
      <alignment horizontal="center"/>
    </xf>
    <xf numFmtId="9" fontId="4" fillId="0" borderId="1" xfId="1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2" fontId="0" fillId="0" borderId="0" xfId="0" quotePrefix="1" applyNumberFormat="1" applyFont="1" applyFill="1" applyAlignment="1" applyProtection="1"/>
    <xf numFmtId="0" fontId="16" fillId="0" borderId="1" xfId="0" applyNumberFormat="1" applyFont="1" applyFill="1" applyBorder="1" applyAlignment="1" applyProtection="1"/>
    <xf numFmtId="1" fontId="16" fillId="0" borderId="0" xfId="0" applyNumberFormat="1" applyFont="1" applyFill="1" applyAlignment="1" applyProtection="1"/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11" fontId="4" fillId="0" borderId="2" xfId="0" applyNumberFormat="1" applyFont="1" applyFill="1" applyBorder="1" applyAlignment="1">
      <alignment horizontal="center" vertical="center" wrapText="1"/>
    </xf>
    <xf numFmtId="11" fontId="4" fillId="0" borderId="3" xfId="0" applyNumberFormat="1" applyFont="1" applyFill="1" applyBorder="1" applyAlignment="1">
      <alignment horizontal="center" vertical="center" wrapText="1"/>
    </xf>
    <xf numFmtId="11" fontId="4" fillId="0" borderId="2" xfId="0" applyNumberFormat="1" applyFont="1" applyBorder="1" applyAlignment="1">
      <alignment horizontal="center" vertical="center" wrapText="1"/>
    </xf>
    <xf numFmtId="11" fontId="4" fillId="0" borderId="3" xfId="0" applyNumberFormat="1" applyFont="1" applyBorder="1" applyAlignment="1">
      <alignment horizontal="center" vertical="center" wrapText="1"/>
    </xf>
    <xf numFmtId="0" fontId="2" fillId="0" borderId="0" xfId="0" applyNumberFormat="1" applyFont="1"/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66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NumberFormat="1" applyFont="1" applyFill="1" applyAlignment="1" applyProtection="1">
      <alignment wrapText="1"/>
    </xf>
    <xf numFmtId="0" fontId="4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2" fontId="0" fillId="0" borderId="1" xfId="0" applyNumberFormat="1" applyBorder="1"/>
    <xf numFmtId="11" fontId="4" fillId="3" borderId="2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11" fontId="4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4" fillId="0" borderId="6" xfId="0" applyNumberFormat="1" applyFont="1" applyFill="1" applyBorder="1" applyAlignment="1">
      <alignment horizontal="center" vertical="center" wrapText="1"/>
    </xf>
    <xf numFmtId="1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6" fillId="0" borderId="2" xfId="0" applyNumberFormat="1" applyFont="1" applyFill="1" applyBorder="1" applyAlignment="1" applyProtection="1">
      <alignment horizontal="center"/>
    </xf>
    <xf numFmtId="1" fontId="0" fillId="0" borderId="3" xfId="0" applyNumberFormat="1" applyFont="1" applyFill="1" applyBorder="1" applyAlignment="1" applyProtection="1">
      <alignment horizontal="center"/>
    </xf>
    <xf numFmtId="11" fontId="0" fillId="0" borderId="1" xfId="0" applyNumberFormat="1" applyFont="1" applyFill="1" applyBorder="1" applyAlignment="1" applyProtection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11" fontId="0" fillId="0" borderId="1" xfId="1" applyNumberFormat="1" applyFont="1" applyFill="1" applyBorder="1" applyAlignment="1" applyProtection="1">
      <alignment horizontal="center" vertical="center"/>
    </xf>
    <xf numFmtId="11" fontId="0" fillId="0" borderId="1" xfId="1" applyNumberFormat="1" applyFont="1" applyBorder="1" applyAlignment="1">
      <alignment horizontal="center" vertical="center"/>
    </xf>
    <xf numFmtId="1" fontId="6" fillId="0" borderId="3" xfId="0" applyNumberFormat="1" applyFont="1" applyFill="1" applyBorder="1" applyAlignment="1" applyProtection="1">
      <alignment horizontal="center"/>
    </xf>
    <xf numFmtId="11" fontId="0" fillId="0" borderId="7" xfId="0" applyNumberFormat="1" applyFont="1" applyFill="1" applyBorder="1" applyAlignment="1" applyProtection="1">
      <alignment horizontal="center" vertical="center"/>
    </xf>
    <xf numFmtId="11" fontId="0" fillId="0" borderId="4" xfId="0" applyNumberFormat="1" applyFont="1" applyFill="1" applyBorder="1" applyAlignment="1" applyProtection="1">
      <alignment horizontal="center" vertical="center"/>
    </xf>
    <xf numFmtId="11" fontId="0" fillId="0" borderId="8" xfId="0" applyNumberFormat="1" applyFont="1" applyFill="1" applyBorder="1" applyAlignment="1" applyProtection="1">
      <alignment horizontal="center" vertical="center"/>
    </xf>
    <xf numFmtId="2" fontId="0" fillId="0" borderId="7" xfId="1" applyNumberFormat="1" applyFont="1" applyFill="1" applyBorder="1" applyAlignment="1" applyProtection="1">
      <alignment horizontal="center" vertical="center"/>
    </xf>
    <xf numFmtId="2" fontId="0" fillId="0" borderId="4" xfId="1" applyNumberFormat="1" applyFont="1" applyFill="1" applyBorder="1" applyAlignment="1" applyProtection="1">
      <alignment horizontal="center" vertical="center"/>
    </xf>
    <xf numFmtId="2" fontId="0" fillId="0" borderId="8" xfId="1" applyNumberFormat="1" applyFont="1" applyFill="1" applyBorder="1" applyAlignment="1" applyProtection="1">
      <alignment horizontal="center" vertical="center"/>
    </xf>
    <xf numFmtId="1" fontId="0" fillId="0" borderId="4" xfId="0" applyNumberFormat="1" applyFont="1" applyFill="1" applyBorder="1" applyAlignment="1" applyProtection="1">
      <alignment horizontal="center" vertical="center" wrapText="1"/>
    </xf>
    <xf numFmtId="1" fontId="0" fillId="0" borderId="8" xfId="0" applyNumberFormat="1" applyFont="1" applyFill="1" applyBorder="1" applyAlignment="1" applyProtection="1">
      <alignment horizontal="center" vertical="center" wrapText="1"/>
    </xf>
    <xf numFmtId="2" fontId="0" fillId="0" borderId="4" xfId="0" applyNumberFormat="1" applyFont="1" applyFill="1" applyBorder="1" applyAlignment="1" applyProtection="1">
      <alignment horizontal="center" vertical="center" wrapText="1"/>
    </xf>
    <xf numFmtId="2" fontId="0" fillId="0" borderId="8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1" fontId="0" fillId="0" borderId="7" xfId="1" applyNumberFormat="1" applyFont="1" applyFill="1" applyBorder="1" applyAlignment="1" applyProtection="1">
      <alignment horizontal="center" vertical="center"/>
    </xf>
    <xf numFmtId="11" fontId="0" fillId="0" borderId="4" xfId="1" applyNumberFormat="1" applyFont="1" applyFill="1" applyBorder="1" applyAlignment="1" applyProtection="1">
      <alignment horizontal="center" vertical="center"/>
    </xf>
    <xf numFmtId="11" fontId="0" fillId="0" borderId="8" xfId="1" applyNumberFormat="1" applyFont="1" applyFill="1" applyBorder="1" applyAlignment="1" applyProtection="1">
      <alignment horizontal="center" vertical="center"/>
    </xf>
    <xf numFmtId="2" fontId="0" fillId="0" borderId="1" xfId="1" applyNumberFormat="1" applyFont="1" applyFill="1" applyBorder="1" applyAlignment="1" applyProtection="1">
      <alignment horizontal="center" vertical="center"/>
    </xf>
    <xf numFmtId="2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" fontId="0" fillId="0" borderId="1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" fontId="10" fillId="0" borderId="1" xfId="0" applyNumberFormat="1" applyFont="1" applyBorder="1" applyAlignment="1">
      <alignment horizontal="center" vertical="center" wrapText="1"/>
    </xf>
    <xf numFmtId="16" fontId="10" fillId="0" borderId="7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1" fontId="0" fillId="0" borderId="7" xfId="0" applyNumberFormat="1" applyFont="1" applyFill="1" applyBorder="1" applyAlignment="1" applyProtection="1">
      <alignment horizontal="center" vertical="center" wrapText="1"/>
    </xf>
    <xf numFmtId="11" fontId="0" fillId="0" borderId="4" xfId="0" applyNumberFormat="1" applyFont="1" applyFill="1" applyBorder="1" applyAlignment="1" applyProtection="1">
      <alignment horizontal="center" vertical="center" wrapText="1"/>
    </xf>
    <xf numFmtId="11" fontId="0" fillId="0" borderId="8" xfId="0" applyNumberFormat="1" applyFont="1" applyFill="1" applyBorder="1" applyAlignment="1" applyProtection="1">
      <alignment horizontal="center" vertical="center" wrapText="1"/>
    </xf>
    <xf numFmtId="11" fontId="0" fillId="0" borderId="4" xfId="0" applyNumberFormat="1" applyBorder="1" applyAlignment="1">
      <alignment horizontal="center" vertical="center" wrapText="1"/>
    </xf>
    <xf numFmtId="11" fontId="0" fillId="0" borderId="8" xfId="0" applyNumberForma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PaB Decontamination Efficacy</a:t>
            </a:r>
          </a:p>
          <a:p>
            <a:pPr>
              <a:defRPr/>
            </a:pPr>
            <a:r>
              <a:rPr lang="en-US"/>
              <a:t>Liquid Inoculation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'Log Reduction Charts'!$D$2:$F$2</c:f>
              <c:strCache>
                <c:ptCount val="1"/>
                <c:pt idx="0">
                  <c:v>Decontamination Efficacy (Log Reduction)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'Log Reduction Charts'!$F$3:$F$5</c:f>
                <c:numCache>
                  <c:formatCode>General</c:formatCode>
                  <c:ptCount val="3"/>
                  <c:pt idx="0">
                    <c:v>1.8048978300117091E-2</c:v>
                  </c:pt>
                  <c:pt idx="1">
                    <c:v>6.3883418566583014E-2</c:v>
                  </c:pt>
                  <c:pt idx="2">
                    <c:v>8.492740732571346E-3</c:v>
                  </c:pt>
                </c:numCache>
              </c:numRef>
            </c:plus>
            <c:minus>
              <c:numRef>
                <c:f>'Log Reduction Charts'!$F$3:$F$5</c:f>
                <c:numCache>
                  <c:formatCode>General</c:formatCode>
                  <c:ptCount val="3"/>
                  <c:pt idx="0">
                    <c:v>1.8048978300117091E-2</c:v>
                  </c:pt>
                  <c:pt idx="1">
                    <c:v>6.3883418566583014E-2</c:v>
                  </c:pt>
                  <c:pt idx="2">
                    <c:v>8.492740732571346E-3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'Log Reduction Charts'!$C$3:$C$5</c:f>
              <c:strCache>
                <c:ptCount val="3"/>
                <c:pt idx="0">
                  <c:v>Corrugated Fiberboard</c:v>
                </c:pt>
                <c:pt idx="1">
                  <c:v>Polystyrene Foam</c:v>
                </c:pt>
                <c:pt idx="2">
                  <c:v>Polyethylene Plastic</c:v>
                </c:pt>
              </c:strCache>
            </c:strRef>
          </c:cat>
          <c:val>
            <c:numRef>
              <c:f>'Log Reduction Charts'!$D$3:$D$5</c:f>
              <c:numCache>
                <c:formatCode>0.00</c:formatCode>
                <c:ptCount val="3"/>
                <c:pt idx="0">
                  <c:v>5.2102902383260004</c:v>
                </c:pt>
                <c:pt idx="1">
                  <c:v>4.9518945718216916</c:v>
                </c:pt>
                <c:pt idx="2">
                  <c:v>5.2490600654959687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51330288"/>
        <c:axId val="350071512"/>
      </c:barChart>
      <c:catAx>
        <c:axId val="35133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071512"/>
        <c:crosses val="autoZero"/>
        <c:auto val="1"/>
        <c:lblAlgn val="ctr"/>
        <c:lblOffset val="100"/>
        <c:noMultiLvlLbl val="0"/>
      </c:catAx>
      <c:valAx>
        <c:axId val="350071512"/>
        <c:scaling>
          <c:orientation val="minMax"/>
          <c:max val="6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</a:t>
                </a:r>
                <a:r>
                  <a:rPr lang="en-US" baseline="0"/>
                  <a:t> Reduction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33028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Sporicidal Bleach Wipe Decontamination Efficacy</a:t>
            </a:r>
          </a:p>
          <a:p>
            <a:pPr>
              <a:defRPr/>
            </a:pPr>
            <a:r>
              <a:rPr lang="en-US"/>
              <a:t>Liquid Inoculation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'Log Reduction Charts'!$D$2:$F$2</c:f>
              <c:strCache>
                <c:ptCount val="1"/>
                <c:pt idx="0">
                  <c:v>Decontamination Efficacy (Log Reduction)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'Log Reduction Charts'!$F$6:$F$8</c:f>
                <c:numCache>
                  <c:formatCode>General</c:formatCode>
                  <c:ptCount val="3"/>
                  <c:pt idx="0">
                    <c:v>7.56581987095898E-2</c:v>
                  </c:pt>
                  <c:pt idx="1">
                    <c:v>0.21185099824634596</c:v>
                  </c:pt>
                  <c:pt idx="2">
                    <c:v>8.4724850694493065E-2</c:v>
                  </c:pt>
                </c:numCache>
              </c:numRef>
            </c:plus>
            <c:minus>
              <c:numRef>
                <c:f>'Log Reduction Charts'!$F$6:$F$8</c:f>
                <c:numCache>
                  <c:formatCode>General</c:formatCode>
                  <c:ptCount val="3"/>
                  <c:pt idx="0">
                    <c:v>7.56581987095898E-2</c:v>
                  </c:pt>
                  <c:pt idx="1">
                    <c:v>0.21185099824634596</c:v>
                  </c:pt>
                  <c:pt idx="2">
                    <c:v>8.4724850694493065E-2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'Log Reduction Charts'!$C$3:$C$8</c:f>
              <c:strCache>
                <c:ptCount val="6"/>
                <c:pt idx="0">
                  <c:v>Corrugated Fiberboard</c:v>
                </c:pt>
                <c:pt idx="1">
                  <c:v>Polystyrene Foam</c:v>
                </c:pt>
                <c:pt idx="2">
                  <c:v>Polyethylene Plastic</c:v>
                </c:pt>
                <c:pt idx="3">
                  <c:v>Corrugated Fiberboard</c:v>
                </c:pt>
                <c:pt idx="4">
                  <c:v>Polystyrene Foam</c:v>
                </c:pt>
                <c:pt idx="5">
                  <c:v>Polyethylene Plastic</c:v>
                </c:pt>
              </c:strCache>
            </c:strRef>
          </c:cat>
          <c:val>
            <c:numRef>
              <c:f>'Log Reduction Charts'!$D$6:$D$8</c:f>
              <c:numCache>
                <c:formatCode>0.00</c:formatCode>
                <c:ptCount val="3"/>
                <c:pt idx="0">
                  <c:v>4.6101786476205318</c:v>
                </c:pt>
                <c:pt idx="1">
                  <c:v>4.7447766713220503</c:v>
                </c:pt>
                <c:pt idx="2">
                  <c:v>5.5055704319674525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828800"/>
        <c:axId val="357324544"/>
      </c:barChart>
      <c:catAx>
        <c:axId val="16682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324544"/>
        <c:crosses val="autoZero"/>
        <c:auto val="1"/>
        <c:lblAlgn val="ctr"/>
        <c:lblOffset val="100"/>
        <c:noMultiLvlLbl val="0"/>
      </c:catAx>
      <c:valAx>
        <c:axId val="357324544"/>
        <c:scaling>
          <c:orientation val="minMax"/>
          <c:max val="6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</a:t>
                </a:r>
                <a:r>
                  <a:rPr lang="en-US" baseline="0"/>
                  <a:t> Reduction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2880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PaB Decontamination Efficacy</a:t>
            </a:r>
          </a:p>
          <a:p>
            <a:pPr>
              <a:defRPr/>
            </a:pPr>
            <a:r>
              <a:rPr lang="en-US"/>
              <a:t>Aerosol Inoculation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'Log Reduction Charts'!$D$2:$F$2</c:f>
              <c:strCache>
                <c:ptCount val="1"/>
                <c:pt idx="0">
                  <c:v>Decontamination Efficacy (Log Reduction)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'Log Reduction Charts'!$F$11:$F$13</c:f>
                <c:numCache>
                  <c:formatCode>General</c:formatCode>
                  <c:ptCount val="3"/>
                  <c:pt idx="0">
                    <c:v>0.21397417478136352</c:v>
                  </c:pt>
                  <c:pt idx="1">
                    <c:v>0.39371487153692991</c:v>
                  </c:pt>
                  <c:pt idx="2">
                    <c:v>0.12667751485357634</c:v>
                  </c:pt>
                </c:numCache>
              </c:numRef>
            </c:plus>
            <c:minus>
              <c:numRef>
                <c:f>'Log Reduction Charts'!$F$11:$F$13</c:f>
                <c:numCache>
                  <c:formatCode>General</c:formatCode>
                  <c:ptCount val="3"/>
                  <c:pt idx="0">
                    <c:v>0.21397417478136352</c:v>
                  </c:pt>
                  <c:pt idx="1">
                    <c:v>0.39371487153692991</c:v>
                  </c:pt>
                  <c:pt idx="2">
                    <c:v>0.12667751485357634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'Log Reduction Charts'!$C$3:$C$8</c:f>
              <c:strCache>
                <c:ptCount val="6"/>
                <c:pt idx="0">
                  <c:v>Corrugated Fiberboard</c:v>
                </c:pt>
                <c:pt idx="1">
                  <c:v>Polystyrene Foam</c:v>
                </c:pt>
                <c:pt idx="2">
                  <c:v>Polyethylene Plastic</c:v>
                </c:pt>
                <c:pt idx="3">
                  <c:v>Corrugated Fiberboard</c:v>
                </c:pt>
                <c:pt idx="4">
                  <c:v>Polystyrene Foam</c:v>
                </c:pt>
                <c:pt idx="5">
                  <c:v>Polyethylene Plastic</c:v>
                </c:pt>
              </c:strCache>
            </c:strRef>
          </c:cat>
          <c:val>
            <c:numRef>
              <c:f>'Log Reduction Charts'!$D$11:$D$13</c:f>
              <c:numCache>
                <c:formatCode>0.00</c:formatCode>
                <c:ptCount val="3"/>
                <c:pt idx="0">
                  <c:v>2.6806415143987632</c:v>
                </c:pt>
                <c:pt idx="1">
                  <c:v>2.0293944710003897</c:v>
                </c:pt>
                <c:pt idx="2">
                  <c:v>1.9647190200690909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223528"/>
        <c:axId val="166632376"/>
      </c:barChart>
      <c:catAx>
        <c:axId val="353223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632376"/>
        <c:crosses val="autoZero"/>
        <c:auto val="1"/>
        <c:lblAlgn val="ctr"/>
        <c:lblOffset val="100"/>
        <c:noMultiLvlLbl val="0"/>
      </c:catAx>
      <c:valAx>
        <c:axId val="166632376"/>
        <c:scaling>
          <c:orientation val="minMax"/>
          <c:max val="8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</a:t>
                </a:r>
                <a:r>
                  <a:rPr lang="en-US" baseline="0"/>
                  <a:t> Reduction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22352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Sporicidal</a:t>
            </a:r>
            <a:r>
              <a:rPr lang="en-US" baseline="0"/>
              <a:t> Bleach Wipe</a:t>
            </a:r>
            <a:r>
              <a:rPr lang="en-US"/>
              <a:t> Decontamination Efficacy</a:t>
            </a:r>
          </a:p>
          <a:p>
            <a:pPr>
              <a:defRPr/>
            </a:pPr>
            <a:r>
              <a:rPr lang="en-US"/>
              <a:t>Aerosol Inoculation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'Log Reduction Charts'!$D$2:$F$2</c:f>
              <c:strCache>
                <c:ptCount val="1"/>
                <c:pt idx="0">
                  <c:v>Decontamination Efficacy (Log Reduction)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'Log Reduction Charts'!$F$14:$F$16</c:f>
                <c:numCache>
                  <c:formatCode>General</c:formatCode>
                  <c:ptCount val="3"/>
                  <c:pt idx="0">
                    <c:v>0.73518427328761482</c:v>
                  </c:pt>
                  <c:pt idx="1">
                    <c:v>0.51905672064566721</c:v>
                  </c:pt>
                  <c:pt idx="2">
                    <c:v>0.55462051657438727</c:v>
                  </c:pt>
                </c:numCache>
              </c:numRef>
            </c:plus>
            <c:minus>
              <c:numRef>
                <c:f>'Log Reduction Charts'!$F$14:$F$16</c:f>
                <c:numCache>
                  <c:formatCode>General</c:formatCode>
                  <c:ptCount val="3"/>
                  <c:pt idx="0">
                    <c:v>0.73518427328761482</c:v>
                  </c:pt>
                  <c:pt idx="1">
                    <c:v>0.51905672064566721</c:v>
                  </c:pt>
                  <c:pt idx="2">
                    <c:v>0.55462051657438727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'Log Reduction Charts'!$C$3:$C$8</c:f>
              <c:strCache>
                <c:ptCount val="6"/>
                <c:pt idx="0">
                  <c:v>Corrugated Fiberboard</c:v>
                </c:pt>
                <c:pt idx="1">
                  <c:v>Polystyrene Foam</c:v>
                </c:pt>
                <c:pt idx="2">
                  <c:v>Polyethylene Plastic</c:v>
                </c:pt>
                <c:pt idx="3">
                  <c:v>Corrugated Fiberboard</c:v>
                </c:pt>
                <c:pt idx="4">
                  <c:v>Polystyrene Foam</c:v>
                </c:pt>
                <c:pt idx="5">
                  <c:v>Polyethylene Plastic</c:v>
                </c:pt>
              </c:strCache>
            </c:strRef>
          </c:cat>
          <c:val>
            <c:numRef>
              <c:f>'Log Reduction Charts'!$D$14:$D$16</c:f>
              <c:numCache>
                <c:formatCode>0.00</c:formatCode>
                <c:ptCount val="3"/>
                <c:pt idx="0">
                  <c:v>5.6392412453332854</c:v>
                </c:pt>
                <c:pt idx="1">
                  <c:v>4.8651190195485983</c:v>
                </c:pt>
                <c:pt idx="2">
                  <c:v>7.0108863212599655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867472"/>
        <c:axId val="350875040"/>
      </c:barChart>
      <c:catAx>
        <c:axId val="35086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875040"/>
        <c:crosses val="autoZero"/>
        <c:auto val="1"/>
        <c:lblAlgn val="ctr"/>
        <c:lblOffset val="100"/>
        <c:noMultiLvlLbl val="0"/>
      </c:catAx>
      <c:valAx>
        <c:axId val="350875040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</a:t>
                </a:r>
                <a:r>
                  <a:rPr lang="en-US" baseline="0"/>
                  <a:t> Reduction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867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PaB Decontamination Efficacy</a:t>
            </a:r>
          </a:p>
          <a:p>
            <a:pPr>
              <a:defRPr/>
            </a:pPr>
            <a:r>
              <a:rPr lang="en-US"/>
              <a:t>Liquid Inoculation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'Log Reduction Charts'!$U$33</c:f>
              <c:strCache>
                <c:ptCount val="1"/>
                <c:pt idx="0">
                  <c:v>Decontamination Efficacy (Log Reduction)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'Log Reduction Charts'!$F$3:$F$5</c:f>
                <c:numCache>
                  <c:formatCode>General</c:formatCode>
                  <c:ptCount val="3"/>
                  <c:pt idx="0">
                    <c:v>1.8048978300117091E-2</c:v>
                  </c:pt>
                  <c:pt idx="1">
                    <c:v>6.3883418566583014E-2</c:v>
                  </c:pt>
                  <c:pt idx="2">
                    <c:v>8.492740732571346E-3</c:v>
                  </c:pt>
                </c:numCache>
              </c:numRef>
            </c:plus>
            <c:minus>
              <c:numRef>
                <c:f>'Log Reduction Charts'!$F$3:$F$5</c:f>
                <c:numCache>
                  <c:formatCode>General</c:formatCode>
                  <c:ptCount val="3"/>
                  <c:pt idx="0">
                    <c:v>1.8048978300117091E-2</c:v>
                  </c:pt>
                  <c:pt idx="1">
                    <c:v>6.3883418566583014E-2</c:v>
                  </c:pt>
                  <c:pt idx="2">
                    <c:v>8.492740732571346E-3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'Log Reduction Charts'!$C$3:$C$5</c:f>
              <c:strCache>
                <c:ptCount val="3"/>
                <c:pt idx="0">
                  <c:v>Corrugated Fiberboard</c:v>
                </c:pt>
                <c:pt idx="1">
                  <c:v>Polystyrene Foam</c:v>
                </c:pt>
                <c:pt idx="2">
                  <c:v>Polyethylene Plastic</c:v>
                </c:pt>
              </c:strCache>
            </c:strRef>
          </c:cat>
          <c:val>
            <c:numRef>
              <c:f>'Log Reduction Charts'!$D$3:$D$5</c:f>
              <c:numCache>
                <c:formatCode>0.00</c:formatCode>
                <c:ptCount val="3"/>
                <c:pt idx="0">
                  <c:v>5.2102902383260004</c:v>
                </c:pt>
                <c:pt idx="1">
                  <c:v>4.9518945718216916</c:v>
                </c:pt>
                <c:pt idx="2">
                  <c:v>5.2490600654959687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50153112"/>
        <c:axId val="168318504"/>
      </c:barChart>
      <c:scatterChart>
        <c:scatterStyle val="lineMarker"/>
        <c:varyColors val="0"/>
        <c:ser>
          <c:idx val="0"/>
          <c:order val="1"/>
          <c:tx>
            <c:strRef>
              <c:f>'Log Reduction Charts'!$U$34</c:f>
              <c:strCache>
                <c:ptCount val="1"/>
                <c:pt idx="0">
                  <c:v>Positive Control Inoculum Level (Log)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'Log Reduction Charts'!$C$3:$C$5</c:f>
              <c:strCache>
                <c:ptCount val="3"/>
                <c:pt idx="0">
                  <c:v>Corrugated Fiberboard</c:v>
                </c:pt>
                <c:pt idx="1">
                  <c:v>Polystyrene Foam</c:v>
                </c:pt>
                <c:pt idx="2">
                  <c:v>Polyethylene Plastic</c:v>
                </c:pt>
              </c:strCache>
            </c:strRef>
          </c:xVal>
          <c:yVal>
            <c:numRef>
              <c:f>'Log Reduction Charts'!$G$3:$G$5</c:f>
              <c:numCache>
                <c:formatCode>0.00</c:formatCode>
                <c:ptCount val="3"/>
                <c:pt idx="0">
                  <c:v>5.2102902383260004</c:v>
                </c:pt>
                <c:pt idx="1">
                  <c:v>4.9518945718216907</c:v>
                </c:pt>
                <c:pt idx="2">
                  <c:v>5.2490600654959687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330872"/>
        <c:axId val="356071992"/>
      </c:scatterChart>
      <c:catAx>
        <c:axId val="350153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318504"/>
        <c:crosses val="autoZero"/>
        <c:auto val="1"/>
        <c:lblAlgn val="ctr"/>
        <c:lblOffset val="100"/>
        <c:noMultiLvlLbl val="0"/>
      </c:catAx>
      <c:valAx>
        <c:axId val="168318504"/>
        <c:scaling>
          <c:orientation val="minMax"/>
          <c:max val="6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</a:t>
                </a:r>
                <a:r>
                  <a:rPr lang="en-US" baseline="0"/>
                  <a:t> Reduction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153112"/>
        <c:crosses val="autoZero"/>
        <c:crossBetween val="between"/>
        <c:majorUnit val="1"/>
      </c:valAx>
      <c:valAx>
        <c:axId val="356071992"/>
        <c:scaling>
          <c:orientation val="minMax"/>
          <c:max val="5.5"/>
          <c:min val="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Positive Control Inoculum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330872"/>
        <c:crosses val="max"/>
        <c:crossBetween val="midCat"/>
        <c:majorUnit val="1"/>
      </c:valAx>
      <c:valAx>
        <c:axId val="127330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6071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23812</xdr:rowOff>
    </xdr:from>
    <xdr:to>
      <xdr:col>7</xdr:col>
      <xdr:colOff>257175</xdr:colOff>
      <xdr:row>36</xdr:row>
      <xdr:rowOff>61912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37</xdr:row>
      <xdr:rowOff>28574</xdr:rowOff>
    </xdr:from>
    <xdr:to>
      <xdr:col>7</xdr:col>
      <xdr:colOff>352425</xdr:colOff>
      <xdr:row>50</xdr:row>
      <xdr:rowOff>152399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24</xdr:row>
      <xdr:rowOff>47625</xdr:rowOff>
    </xdr:from>
    <xdr:to>
      <xdr:col>17</xdr:col>
      <xdr:colOff>552450</xdr:colOff>
      <xdr:row>36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228600</xdr:colOff>
      <xdr:row>37</xdr:row>
      <xdr:rowOff>0</xdr:rowOff>
    </xdr:from>
    <xdr:to>
      <xdr:col>18</xdr:col>
      <xdr:colOff>171450</xdr:colOff>
      <xdr:row>50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371475</xdr:colOff>
      <xdr:row>38</xdr:row>
      <xdr:rowOff>85725</xdr:rowOff>
    </xdr:from>
    <xdr:to>
      <xdr:col>25</xdr:col>
      <xdr:colOff>209550</xdr:colOff>
      <xdr:row>51</xdr:row>
      <xdr:rowOff>9525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42</xdr:row>
      <xdr:rowOff>0</xdr:rowOff>
    </xdr:from>
    <xdr:to>
      <xdr:col>12</xdr:col>
      <xdr:colOff>514269</xdr:colOff>
      <xdr:row>42</xdr:row>
      <xdr:rowOff>253813</xdr:rowOff>
    </xdr:to>
    <xdr:pic>
      <xdr:nvPicPr>
        <xdr:cNvPr id="2" name="Picture 1" descr="c_v = \frac{\sigma}{\mu}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53400" y="8001000"/>
          <a:ext cx="514269" cy="25381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A21" sqref="A21"/>
    </sheetView>
  </sheetViews>
  <sheetFormatPr defaultRowHeight="15" x14ac:dyDescent="0.25"/>
  <cols>
    <col min="10" max="10" width="50.7109375" customWidth="1"/>
    <col min="11" max="11" width="5.28515625" bestFit="1" customWidth="1"/>
  </cols>
  <sheetData>
    <row r="1" spans="1:11" ht="3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40</v>
      </c>
      <c r="I1" s="1" t="s">
        <v>7</v>
      </c>
      <c r="J1" s="1" t="s">
        <v>16</v>
      </c>
      <c r="K1" s="1" t="s">
        <v>27</v>
      </c>
    </row>
    <row r="2" spans="1:11" ht="24" x14ac:dyDescent="0.25">
      <c r="A2" s="117" t="s">
        <v>8</v>
      </c>
      <c r="B2" s="117" t="s">
        <v>9</v>
      </c>
      <c r="C2" s="2" t="s">
        <v>10</v>
      </c>
      <c r="D2" s="117">
        <v>5</v>
      </c>
      <c r="E2" s="117">
        <v>3</v>
      </c>
      <c r="F2" s="117">
        <v>1</v>
      </c>
      <c r="G2" s="117">
        <v>1</v>
      </c>
      <c r="H2" s="117">
        <v>1</v>
      </c>
      <c r="I2" s="117">
        <v>11</v>
      </c>
      <c r="J2" s="2" t="s">
        <v>23</v>
      </c>
      <c r="K2" s="3" t="s">
        <v>28</v>
      </c>
    </row>
    <row r="3" spans="1:11" ht="24" x14ac:dyDescent="0.25">
      <c r="A3" s="117"/>
      <c r="B3" s="117"/>
      <c r="C3" s="2" t="s">
        <v>11</v>
      </c>
      <c r="D3" s="117"/>
      <c r="E3" s="117"/>
      <c r="F3" s="117"/>
      <c r="G3" s="117"/>
      <c r="H3" s="117"/>
      <c r="I3" s="117"/>
      <c r="J3" s="2" t="s">
        <v>22</v>
      </c>
      <c r="K3" s="3" t="s">
        <v>29</v>
      </c>
    </row>
    <row r="4" spans="1:11" ht="24" x14ac:dyDescent="0.25">
      <c r="A4" s="117"/>
      <c r="B4" s="117"/>
      <c r="C4" s="2" t="s">
        <v>12</v>
      </c>
      <c r="D4" s="117"/>
      <c r="E4" s="117"/>
      <c r="F4" s="117"/>
      <c r="G4" s="117"/>
      <c r="H4" s="117"/>
      <c r="I4" s="117"/>
      <c r="J4" s="2"/>
      <c r="K4" s="3"/>
    </row>
    <row r="5" spans="1:11" ht="24" x14ac:dyDescent="0.25">
      <c r="A5" s="117"/>
      <c r="B5" s="117"/>
      <c r="C5" s="2" t="s">
        <v>13</v>
      </c>
      <c r="D5" s="117"/>
      <c r="E5" s="117"/>
      <c r="F5" s="117"/>
      <c r="G5" s="117"/>
      <c r="H5" s="117"/>
      <c r="I5" s="117"/>
      <c r="J5" s="2" t="s">
        <v>23</v>
      </c>
      <c r="K5" s="3" t="s">
        <v>30</v>
      </c>
    </row>
    <row r="6" spans="1:11" ht="24" x14ac:dyDescent="0.25">
      <c r="A6" s="117"/>
      <c r="B6" s="117" t="s">
        <v>14</v>
      </c>
      <c r="C6" s="2" t="s">
        <v>10</v>
      </c>
      <c r="D6" s="117">
        <v>5</v>
      </c>
      <c r="E6" s="117">
        <v>3</v>
      </c>
      <c r="F6" s="117">
        <v>1</v>
      </c>
      <c r="G6" s="117">
        <v>1</v>
      </c>
      <c r="H6" s="117">
        <v>1</v>
      </c>
      <c r="I6" s="117">
        <v>11</v>
      </c>
      <c r="J6" s="2" t="s">
        <v>24</v>
      </c>
      <c r="K6" s="3" t="s">
        <v>31</v>
      </c>
    </row>
    <row r="7" spans="1:11" ht="24" x14ac:dyDescent="0.25">
      <c r="A7" s="117"/>
      <c r="B7" s="117"/>
      <c r="C7" s="2" t="s">
        <v>11</v>
      </c>
      <c r="D7" s="117"/>
      <c r="E7" s="117"/>
      <c r="F7" s="117"/>
      <c r="G7" s="117"/>
      <c r="H7" s="117"/>
      <c r="I7" s="117"/>
      <c r="J7" s="2" t="s">
        <v>26</v>
      </c>
      <c r="K7" s="3" t="s">
        <v>32</v>
      </c>
    </row>
    <row r="8" spans="1:11" ht="24" x14ac:dyDescent="0.25">
      <c r="A8" s="117"/>
      <c r="B8" s="117"/>
      <c r="C8" s="2" t="s">
        <v>12</v>
      </c>
      <c r="D8" s="117"/>
      <c r="E8" s="117"/>
      <c r="F8" s="117"/>
      <c r="G8" s="117"/>
      <c r="H8" s="117"/>
      <c r="I8" s="117"/>
      <c r="J8" s="2"/>
      <c r="K8" s="3"/>
    </row>
    <row r="9" spans="1:11" ht="24" x14ac:dyDescent="0.25">
      <c r="A9" s="117"/>
      <c r="B9" s="117"/>
      <c r="C9" s="2" t="s">
        <v>13</v>
      </c>
      <c r="D9" s="117"/>
      <c r="E9" s="117"/>
      <c r="F9" s="117"/>
      <c r="G9" s="117"/>
      <c r="H9" s="117"/>
      <c r="I9" s="117"/>
      <c r="J9" s="2" t="s">
        <v>25</v>
      </c>
      <c r="K9" s="3" t="s">
        <v>33</v>
      </c>
    </row>
    <row r="10" spans="1:11" ht="24" x14ac:dyDescent="0.25">
      <c r="A10" s="117" t="s">
        <v>15</v>
      </c>
      <c r="B10" s="117" t="s">
        <v>9</v>
      </c>
      <c r="C10" s="2" t="s">
        <v>10</v>
      </c>
      <c r="D10" s="117">
        <v>5</v>
      </c>
      <c r="E10" s="117">
        <v>3</v>
      </c>
      <c r="F10" s="117">
        <v>1</v>
      </c>
      <c r="G10" s="117">
        <v>1</v>
      </c>
      <c r="H10" s="117">
        <v>1</v>
      </c>
      <c r="I10" s="117">
        <v>11</v>
      </c>
      <c r="J10" s="2" t="s">
        <v>19</v>
      </c>
      <c r="K10" s="3" t="s">
        <v>34</v>
      </c>
    </row>
    <row r="11" spans="1:11" ht="24" x14ac:dyDescent="0.25">
      <c r="A11" s="117"/>
      <c r="B11" s="117"/>
      <c r="C11" s="2" t="s">
        <v>11</v>
      </c>
      <c r="D11" s="117"/>
      <c r="E11" s="117"/>
      <c r="F11" s="117"/>
      <c r="G11" s="117"/>
      <c r="H11" s="117"/>
      <c r="I11" s="117"/>
      <c r="J11" s="2" t="s">
        <v>20</v>
      </c>
      <c r="K11" s="3" t="s">
        <v>35</v>
      </c>
    </row>
    <row r="12" spans="1:11" ht="24" x14ac:dyDescent="0.25">
      <c r="A12" s="117"/>
      <c r="B12" s="117"/>
      <c r="C12" s="2" t="s">
        <v>12</v>
      </c>
      <c r="D12" s="117"/>
      <c r="E12" s="117"/>
      <c r="F12" s="117"/>
      <c r="G12" s="117"/>
      <c r="H12" s="117"/>
      <c r="I12" s="117"/>
      <c r="J12" s="2"/>
      <c r="K12" s="3"/>
    </row>
    <row r="13" spans="1:11" ht="24" x14ac:dyDescent="0.25">
      <c r="A13" s="117"/>
      <c r="B13" s="117"/>
      <c r="C13" s="2" t="s">
        <v>13</v>
      </c>
      <c r="D13" s="117"/>
      <c r="E13" s="117"/>
      <c r="F13" s="117"/>
      <c r="G13" s="117"/>
      <c r="H13" s="117"/>
      <c r="I13" s="117"/>
      <c r="J13" s="2" t="s">
        <v>21</v>
      </c>
      <c r="K13" s="3" t="s">
        <v>36</v>
      </c>
    </row>
    <row r="14" spans="1:11" ht="24" x14ac:dyDescent="0.25">
      <c r="A14" s="117"/>
      <c r="B14" s="117" t="s">
        <v>14</v>
      </c>
      <c r="C14" s="2" t="s">
        <v>10</v>
      </c>
      <c r="D14" s="117">
        <v>5</v>
      </c>
      <c r="E14" s="117">
        <v>3</v>
      </c>
      <c r="F14" s="117">
        <v>1</v>
      </c>
      <c r="G14" s="117">
        <v>1</v>
      </c>
      <c r="H14" s="117">
        <v>1</v>
      </c>
      <c r="I14" s="117">
        <v>11</v>
      </c>
      <c r="J14" s="2" t="s">
        <v>17</v>
      </c>
      <c r="K14" s="3" t="s">
        <v>37</v>
      </c>
    </row>
    <row r="15" spans="1:11" ht="24" x14ac:dyDescent="0.25">
      <c r="A15" s="117"/>
      <c r="B15" s="117"/>
      <c r="C15" s="2" t="s">
        <v>11</v>
      </c>
      <c r="D15" s="117"/>
      <c r="E15" s="117"/>
      <c r="F15" s="117"/>
      <c r="G15" s="117"/>
      <c r="H15" s="117"/>
      <c r="I15" s="117"/>
      <c r="J15" s="2" t="s">
        <v>18</v>
      </c>
      <c r="K15" s="3" t="s">
        <v>38</v>
      </c>
    </row>
    <row r="16" spans="1:11" ht="24" x14ac:dyDescent="0.25">
      <c r="A16" s="117"/>
      <c r="B16" s="117"/>
      <c r="C16" s="2" t="s">
        <v>12</v>
      </c>
      <c r="D16" s="117"/>
      <c r="E16" s="117"/>
      <c r="F16" s="117"/>
      <c r="G16" s="117"/>
      <c r="H16" s="117"/>
      <c r="I16" s="117"/>
      <c r="J16" s="2"/>
      <c r="K16" s="3"/>
    </row>
    <row r="17" spans="1:11" ht="24" x14ac:dyDescent="0.25">
      <c r="A17" s="117"/>
      <c r="B17" s="117"/>
      <c r="C17" s="2" t="s">
        <v>13</v>
      </c>
      <c r="D17" s="117"/>
      <c r="E17" s="117"/>
      <c r="F17" s="117"/>
      <c r="G17" s="117"/>
      <c r="H17" s="117"/>
      <c r="I17" s="117"/>
      <c r="J17" s="2" t="s">
        <v>17</v>
      </c>
      <c r="K17" s="3" t="s">
        <v>39</v>
      </c>
    </row>
  </sheetData>
  <mergeCells count="30">
    <mergeCell ref="H10:H13"/>
    <mergeCell ref="I10:I13"/>
    <mergeCell ref="B14:B17"/>
    <mergeCell ref="D14:D17"/>
    <mergeCell ref="E14:E17"/>
    <mergeCell ref="F14:F17"/>
    <mergeCell ref="G14:G17"/>
    <mergeCell ref="H14:H17"/>
    <mergeCell ref="I14:I17"/>
    <mergeCell ref="G10:G13"/>
    <mergeCell ref="A10:A17"/>
    <mergeCell ref="B10:B13"/>
    <mergeCell ref="D10:D13"/>
    <mergeCell ref="E10:E13"/>
    <mergeCell ref="F10:F13"/>
    <mergeCell ref="H2:H5"/>
    <mergeCell ref="I2:I5"/>
    <mergeCell ref="B6:B9"/>
    <mergeCell ref="D6:D9"/>
    <mergeCell ref="E6:E9"/>
    <mergeCell ref="F6:F9"/>
    <mergeCell ref="G6:G9"/>
    <mergeCell ref="H6:H9"/>
    <mergeCell ref="I6:I9"/>
    <mergeCell ref="G2:G5"/>
    <mergeCell ref="A2:A9"/>
    <mergeCell ref="B2:B5"/>
    <mergeCell ref="D2:D5"/>
    <mergeCell ref="E2:E5"/>
    <mergeCell ref="F2:F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opLeftCell="A40" workbookViewId="0">
      <selection activeCell="B62" sqref="B62:B66"/>
    </sheetView>
  </sheetViews>
  <sheetFormatPr defaultRowHeight="15" x14ac:dyDescent="0.25"/>
  <cols>
    <col min="1" max="2" width="15.7109375" customWidth="1"/>
    <col min="4" max="5" width="9.140625" style="38"/>
    <col min="6" max="6" width="8.5703125" bestFit="1" customWidth="1"/>
    <col min="8" max="8" width="8.42578125" customWidth="1"/>
    <col min="9" max="9" width="9.7109375" customWidth="1"/>
    <col min="11" max="11" width="10" bestFit="1" customWidth="1"/>
    <col min="12" max="12" width="12.140625" bestFit="1" customWidth="1"/>
    <col min="16" max="16" width="10.5703125" customWidth="1"/>
  </cols>
  <sheetData>
    <row r="1" spans="1:16" ht="18.75" x14ac:dyDescent="0.3">
      <c r="A1" s="35" t="s">
        <v>273</v>
      </c>
      <c r="B1" s="35"/>
      <c r="D1" t="s">
        <v>274</v>
      </c>
      <c r="E1"/>
    </row>
    <row r="2" spans="1:16" ht="17.25" x14ac:dyDescent="0.25">
      <c r="D2"/>
      <c r="E2" s="36" t="s">
        <v>275</v>
      </c>
      <c r="F2">
        <v>0.1</v>
      </c>
      <c r="H2" s="36" t="s">
        <v>276</v>
      </c>
      <c r="I2">
        <f>10^-4</f>
        <v>1E-4</v>
      </c>
      <c r="N2" s="37"/>
      <c r="O2" s="143"/>
      <c r="P2" s="143"/>
    </row>
    <row r="3" spans="1:16" ht="17.25" x14ac:dyDescent="0.25">
      <c r="D3"/>
      <c r="E3" s="36" t="s">
        <v>277</v>
      </c>
      <c r="F3">
        <f>10^-2</f>
        <v>0.01</v>
      </c>
      <c r="H3" s="36" t="s">
        <v>278</v>
      </c>
      <c r="I3">
        <f>10^-5</f>
        <v>1.0000000000000001E-5</v>
      </c>
      <c r="K3" s="36"/>
      <c r="M3" s="36"/>
      <c r="O3" s="143"/>
      <c r="P3" s="143"/>
    </row>
    <row r="4" spans="1:16" ht="17.25" x14ac:dyDescent="0.25">
      <c r="D4"/>
      <c r="E4" s="36" t="s">
        <v>279</v>
      </c>
      <c r="F4">
        <f>10^-3</f>
        <v>1E-3</v>
      </c>
      <c r="H4" s="36" t="s">
        <v>280</v>
      </c>
      <c r="I4">
        <f>10^-6</f>
        <v>9.9999999999999995E-7</v>
      </c>
      <c r="K4" s="36"/>
      <c r="M4" s="36"/>
    </row>
    <row r="5" spans="1:16" x14ac:dyDescent="0.25">
      <c r="L5" s="36"/>
      <c r="O5" s="36"/>
    </row>
    <row r="6" spans="1:16" ht="15" customHeight="1" x14ac:dyDescent="0.25">
      <c r="A6" s="172" t="s">
        <v>281</v>
      </c>
      <c r="B6" s="173" t="s">
        <v>202</v>
      </c>
      <c r="C6" s="172" t="s">
        <v>283</v>
      </c>
      <c r="D6" s="175" t="s">
        <v>284</v>
      </c>
      <c r="E6" s="175" t="s">
        <v>49</v>
      </c>
      <c r="F6" s="177" t="s">
        <v>58</v>
      </c>
      <c r="G6" s="148" t="s">
        <v>204</v>
      </c>
      <c r="H6" s="179" t="s">
        <v>45</v>
      </c>
      <c r="I6" s="179" t="s">
        <v>285</v>
      </c>
      <c r="J6" s="148" t="s">
        <v>286</v>
      </c>
      <c r="K6" s="148" t="s">
        <v>287</v>
      </c>
      <c r="L6" s="176" t="s">
        <v>289</v>
      </c>
    </row>
    <row r="7" spans="1:16" x14ac:dyDescent="0.25">
      <c r="A7" s="173"/>
      <c r="B7" s="174"/>
      <c r="C7" s="173"/>
      <c r="D7" s="176"/>
      <c r="E7" s="176"/>
      <c r="F7" s="178"/>
      <c r="G7" s="176"/>
      <c r="H7" s="180"/>
      <c r="I7" s="180"/>
      <c r="J7" s="176"/>
      <c r="K7" s="176"/>
      <c r="L7" s="123"/>
    </row>
    <row r="8" spans="1:16" x14ac:dyDescent="0.25">
      <c r="A8" s="148" t="s">
        <v>291</v>
      </c>
      <c r="B8" s="26"/>
      <c r="C8" s="41" t="s">
        <v>292</v>
      </c>
      <c r="D8" s="42">
        <v>77</v>
      </c>
      <c r="E8" s="181">
        <f>STDEV(D8:D10)/AVERAGE(D8:D10)</f>
        <v>0.21442215254989933</v>
      </c>
      <c r="F8" s="172">
        <v>1E-3</v>
      </c>
      <c r="G8" s="182">
        <f>AVERAGE(D8:D10)</f>
        <v>91.666666666666671</v>
      </c>
      <c r="H8" s="172">
        <v>1</v>
      </c>
      <c r="I8" s="172">
        <v>0.1</v>
      </c>
      <c r="J8" s="172">
        <f>1/F8</f>
        <v>1000</v>
      </c>
      <c r="K8" s="152">
        <f>(G8/I8)*J8*H8</f>
        <v>916666.66666666663</v>
      </c>
      <c r="L8" s="44"/>
    </row>
    <row r="9" spans="1:16" x14ac:dyDescent="0.25">
      <c r="A9" s="148"/>
      <c r="B9" s="26"/>
      <c r="C9" s="41" t="s">
        <v>293</v>
      </c>
      <c r="D9" s="42">
        <v>84</v>
      </c>
      <c r="E9" s="172"/>
      <c r="F9" s="172"/>
      <c r="G9" s="182"/>
      <c r="H9" s="172"/>
      <c r="I9" s="172"/>
      <c r="J9" s="172"/>
      <c r="K9" s="152"/>
      <c r="L9" s="46"/>
      <c r="M9" s="47"/>
      <c r="N9" s="27"/>
    </row>
    <row r="10" spans="1:16" x14ac:dyDescent="0.25">
      <c r="A10" s="148"/>
      <c r="B10" s="26"/>
      <c r="C10" s="41" t="s">
        <v>294</v>
      </c>
      <c r="D10" s="42">
        <v>114</v>
      </c>
      <c r="E10" s="172"/>
      <c r="F10" s="172"/>
      <c r="G10" s="182"/>
      <c r="H10" s="172"/>
      <c r="I10" s="172"/>
      <c r="J10" s="172"/>
      <c r="K10" s="152"/>
      <c r="L10" s="49"/>
    </row>
    <row r="11" spans="1:16" x14ac:dyDescent="0.25">
      <c r="A11" s="148" t="s">
        <v>295</v>
      </c>
      <c r="B11" s="26" t="s">
        <v>362</v>
      </c>
      <c r="C11" s="41" t="s">
        <v>292</v>
      </c>
      <c r="D11" s="50">
        <v>184</v>
      </c>
      <c r="E11" s="181">
        <f>STDEV(D11:D13)/AVERAGE(D11:D13)</f>
        <v>2.9397236789606564E-2</v>
      </c>
      <c r="F11" s="172">
        <v>0.01</v>
      </c>
      <c r="G11" s="182">
        <f>AVERAGE(D11:D13)</f>
        <v>180</v>
      </c>
      <c r="H11" s="172">
        <v>3.4</v>
      </c>
      <c r="I11" s="172">
        <v>0.1</v>
      </c>
      <c r="J11" s="172">
        <f>1/F11</f>
        <v>100</v>
      </c>
      <c r="K11" s="152">
        <f>(G11/I11)*J11*H11</f>
        <v>612000</v>
      </c>
      <c r="L11" s="51">
        <f>K11/K8</f>
        <v>0.66763636363636369</v>
      </c>
    </row>
    <row r="12" spans="1:16" x14ac:dyDescent="0.25">
      <c r="A12" s="148"/>
      <c r="B12" s="26" t="s">
        <v>363</v>
      </c>
      <c r="C12" s="41" t="s">
        <v>293</v>
      </c>
      <c r="D12" s="50">
        <v>182</v>
      </c>
      <c r="E12" s="172"/>
      <c r="F12" s="172"/>
      <c r="G12" s="182"/>
      <c r="H12" s="172"/>
      <c r="I12" s="172"/>
      <c r="J12" s="172"/>
      <c r="K12" s="152"/>
      <c r="L12" s="46"/>
      <c r="M12" s="52"/>
    </row>
    <row r="13" spans="1:16" x14ac:dyDescent="0.25">
      <c r="A13" s="148"/>
      <c r="B13" s="26" t="s">
        <v>364</v>
      </c>
      <c r="C13" s="41" t="s">
        <v>294</v>
      </c>
      <c r="D13" s="50">
        <v>174</v>
      </c>
      <c r="E13" s="172"/>
      <c r="F13" s="172"/>
      <c r="G13" s="182"/>
      <c r="H13" s="172"/>
      <c r="I13" s="172"/>
      <c r="J13" s="172"/>
      <c r="K13" s="152"/>
      <c r="L13" s="46"/>
    </row>
    <row r="14" spans="1:16" x14ac:dyDescent="0.25">
      <c r="A14" s="148" t="s">
        <v>299</v>
      </c>
      <c r="B14" s="26" t="s">
        <v>365</v>
      </c>
      <c r="C14" s="41" t="s">
        <v>292</v>
      </c>
      <c r="D14" s="50">
        <v>83</v>
      </c>
      <c r="E14" s="181">
        <f>STDEV(D14:D16)/AVERAGE(D14:D16)</f>
        <v>6.8720813274404949E-2</v>
      </c>
      <c r="F14" s="172">
        <v>0.01</v>
      </c>
      <c r="G14" s="182">
        <f>AVERAGE(D14:D16)</f>
        <v>77</v>
      </c>
      <c r="H14" s="172">
        <v>5.8</v>
      </c>
      <c r="I14" s="172">
        <v>0.1</v>
      </c>
      <c r="J14" s="172">
        <f>1/F14</f>
        <v>100</v>
      </c>
      <c r="K14" s="183">
        <f>(G14/I14)*J14*H14</f>
        <v>446600</v>
      </c>
      <c r="L14" s="54">
        <f>(AVERAGE(K14:K22))</f>
        <v>374677.77777777775</v>
      </c>
      <c r="M14">
        <f>(L14/K8)*100</f>
        <v>40.873939393939388</v>
      </c>
      <c r="N14" t="s">
        <v>301</v>
      </c>
    </row>
    <row r="15" spans="1:16" x14ac:dyDescent="0.25">
      <c r="A15" s="148"/>
      <c r="B15" s="26" t="s">
        <v>366</v>
      </c>
      <c r="C15" s="41" t="s">
        <v>293</v>
      </c>
      <c r="D15" s="50">
        <v>73</v>
      </c>
      <c r="E15" s="172"/>
      <c r="F15" s="172"/>
      <c r="G15" s="182"/>
      <c r="H15" s="172"/>
      <c r="I15" s="172"/>
      <c r="J15" s="172"/>
      <c r="K15" s="183"/>
      <c r="L15" s="46"/>
      <c r="M15" s="27">
        <f>STDEV(K14:K22)</f>
        <v>84105.517941144397</v>
      </c>
      <c r="N15" t="s">
        <v>303</v>
      </c>
    </row>
    <row r="16" spans="1:16" x14ac:dyDescent="0.25">
      <c r="A16" s="148"/>
      <c r="B16" s="26" t="s">
        <v>367</v>
      </c>
      <c r="C16" s="41" t="s">
        <v>294</v>
      </c>
      <c r="D16" s="50">
        <v>75</v>
      </c>
      <c r="E16" s="172"/>
      <c r="F16" s="172"/>
      <c r="G16" s="182"/>
      <c r="H16" s="172"/>
      <c r="I16" s="172"/>
      <c r="J16" s="172"/>
      <c r="K16" s="183"/>
      <c r="L16" s="46"/>
    </row>
    <row r="17" spans="1:13" x14ac:dyDescent="0.25">
      <c r="A17" s="148" t="s">
        <v>305</v>
      </c>
      <c r="B17" s="26" t="s">
        <v>368</v>
      </c>
      <c r="C17" s="41" t="s">
        <v>292</v>
      </c>
      <c r="D17" s="50">
        <v>55</v>
      </c>
      <c r="E17" s="181">
        <f>STDEV(D17:D19)/AVERAGE(D17:D19)</f>
        <v>2.7605877680456865E-2</v>
      </c>
      <c r="F17" s="172">
        <v>0.01</v>
      </c>
      <c r="G17" s="182">
        <f>AVERAGE(D17:D19)</f>
        <v>55.333333333333336</v>
      </c>
      <c r="H17" s="172">
        <v>5.0999999999999996</v>
      </c>
      <c r="I17" s="172">
        <v>0.1</v>
      </c>
      <c r="J17" s="172">
        <f>1/F17</f>
        <v>100</v>
      </c>
      <c r="K17" s="183">
        <f>(G17/I17)*J17*H17</f>
        <v>282200</v>
      </c>
      <c r="L17" s="46"/>
    </row>
    <row r="18" spans="1:13" x14ac:dyDescent="0.25">
      <c r="A18" s="148"/>
      <c r="B18" s="26" t="s">
        <v>369</v>
      </c>
      <c r="C18" s="41" t="s">
        <v>293</v>
      </c>
      <c r="D18" s="50">
        <v>57</v>
      </c>
      <c r="E18" s="172"/>
      <c r="F18" s="172"/>
      <c r="G18" s="182"/>
      <c r="H18" s="172"/>
      <c r="I18" s="172"/>
      <c r="J18" s="172"/>
      <c r="K18" s="183"/>
      <c r="L18" s="46"/>
    </row>
    <row r="19" spans="1:13" x14ac:dyDescent="0.25">
      <c r="A19" s="148"/>
      <c r="B19" s="26" t="s">
        <v>370</v>
      </c>
      <c r="C19" s="41" t="s">
        <v>294</v>
      </c>
      <c r="D19" s="50">
        <v>54</v>
      </c>
      <c r="E19" s="172"/>
      <c r="F19" s="172"/>
      <c r="G19" s="182"/>
      <c r="H19" s="172"/>
      <c r="I19" s="172"/>
      <c r="J19" s="172"/>
      <c r="K19" s="183"/>
      <c r="L19" s="46"/>
    </row>
    <row r="20" spans="1:13" x14ac:dyDescent="0.25">
      <c r="A20" s="148" t="s">
        <v>308</v>
      </c>
      <c r="B20" s="26" t="s">
        <v>371</v>
      </c>
      <c r="C20" s="41" t="s">
        <v>292</v>
      </c>
      <c r="D20" s="50">
        <v>47</v>
      </c>
      <c r="E20" s="181">
        <f>STDEV(D20:D22)/AVERAGE(D20:D22)</f>
        <v>0.2105197105538554</v>
      </c>
      <c r="F20" s="172">
        <v>0.01</v>
      </c>
      <c r="G20" s="182">
        <f>AVERAGE(D20:D22)</f>
        <v>55.666666666666664</v>
      </c>
      <c r="H20" s="172">
        <v>7.1</v>
      </c>
      <c r="I20" s="172">
        <v>0.1</v>
      </c>
      <c r="J20" s="172">
        <f>1/F20</f>
        <v>100</v>
      </c>
      <c r="K20" s="183">
        <f>(G20/I20)*J20*H20</f>
        <v>395233.33333333331</v>
      </c>
      <c r="L20" s="46"/>
    </row>
    <row r="21" spans="1:13" x14ac:dyDescent="0.25">
      <c r="A21" s="148"/>
      <c r="B21" s="26" t="s">
        <v>372</v>
      </c>
      <c r="C21" s="41" t="s">
        <v>293</v>
      </c>
      <c r="D21" s="50">
        <v>51</v>
      </c>
      <c r="E21" s="172"/>
      <c r="F21" s="172"/>
      <c r="G21" s="182"/>
      <c r="H21" s="172"/>
      <c r="I21" s="172"/>
      <c r="J21" s="172"/>
      <c r="K21" s="183"/>
      <c r="L21" s="46"/>
    </row>
    <row r="22" spans="1:13" x14ac:dyDescent="0.25">
      <c r="A22" s="148"/>
      <c r="B22" s="26" t="s">
        <v>373</v>
      </c>
      <c r="C22" s="41" t="s">
        <v>294</v>
      </c>
      <c r="D22" s="50">
        <v>69</v>
      </c>
      <c r="E22" s="172"/>
      <c r="F22" s="172"/>
      <c r="G22" s="182"/>
      <c r="H22" s="172"/>
      <c r="I22" s="172"/>
      <c r="J22" s="172"/>
      <c r="K22" s="183"/>
      <c r="L22" s="49"/>
    </row>
    <row r="23" spans="1:13" x14ac:dyDescent="0.25">
      <c r="A23" s="148" t="s">
        <v>312</v>
      </c>
      <c r="B23" s="26" t="s">
        <v>374</v>
      </c>
      <c r="C23" s="41" t="s">
        <v>292</v>
      </c>
      <c r="D23" s="50">
        <v>0</v>
      </c>
      <c r="E23" s="181" t="e">
        <f>STDEV(D23:D25)/AVERAGE(D23:D25)</f>
        <v>#DIV/0!</v>
      </c>
      <c r="F23" s="172">
        <v>1</v>
      </c>
      <c r="G23" s="182">
        <f>AVERAGE(D23:D25)</f>
        <v>0</v>
      </c>
      <c r="H23" s="172">
        <v>6.1</v>
      </c>
      <c r="I23" s="172">
        <v>6.1</v>
      </c>
      <c r="J23" s="172">
        <v>1</v>
      </c>
      <c r="K23" s="183">
        <f>(G23/I23)*J23*H23</f>
        <v>0</v>
      </c>
      <c r="L23" s="62">
        <f>(AVERAGE(K23:K37))</f>
        <v>0.4</v>
      </c>
      <c r="M23" s="47">
        <f>STDEV(K23:K37)</f>
        <v>0.89442719099991586</v>
      </c>
    </row>
    <row r="24" spans="1:13" x14ac:dyDescent="0.25">
      <c r="A24" s="148"/>
      <c r="B24" s="26" t="s">
        <v>375</v>
      </c>
      <c r="C24" s="41" t="s">
        <v>293</v>
      </c>
      <c r="D24" s="42"/>
      <c r="E24" s="172"/>
      <c r="F24" s="172"/>
      <c r="G24" s="182"/>
      <c r="H24" s="172"/>
      <c r="I24" s="172"/>
      <c r="J24" s="172"/>
      <c r="K24" s="183"/>
      <c r="L24" s="46"/>
    </row>
    <row r="25" spans="1:13" x14ac:dyDescent="0.25">
      <c r="A25" s="148"/>
      <c r="B25" s="26" t="s">
        <v>376</v>
      </c>
      <c r="C25" s="41" t="s">
        <v>294</v>
      </c>
      <c r="D25" s="42"/>
      <c r="E25" s="172"/>
      <c r="F25" s="172"/>
      <c r="G25" s="182"/>
      <c r="H25" s="172"/>
      <c r="I25" s="172"/>
      <c r="J25" s="172"/>
      <c r="K25" s="183"/>
      <c r="L25" s="46"/>
    </row>
    <row r="26" spans="1:13" x14ac:dyDescent="0.25">
      <c r="A26" s="148" t="s">
        <v>316</v>
      </c>
      <c r="B26" s="26" t="s">
        <v>377</v>
      </c>
      <c r="C26" s="41" t="s">
        <v>292</v>
      </c>
      <c r="D26" s="42">
        <v>0</v>
      </c>
      <c r="E26" s="181" t="e">
        <f>STDEV(D26:D28)/AVERAGE(D26:D28)</f>
        <v>#DIV/0!</v>
      </c>
      <c r="F26" s="172">
        <v>1</v>
      </c>
      <c r="G26" s="182">
        <f>AVERAGE(D26:D28)</f>
        <v>0</v>
      </c>
      <c r="H26" s="172">
        <v>6.5</v>
      </c>
      <c r="I26" s="172">
        <v>6.5</v>
      </c>
      <c r="J26" s="172">
        <f>1/F26</f>
        <v>1</v>
      </c>
      <c r="K26" s="183">
        <f>(G26/I26)*J26*H26</f>
        <v>0</v>
      </c>
      <c r="L26" s="46"/>
    </row>
    <row r="27" spans="1:13" x14ac:dyDescent="0.25">
      <c r="A27" s="148"/>
      <c r="B27" s="26" t="s">
        <v>378</v>
      </c>
      <c r="C27" s="41" t="s">
        <v>293</v>
      </c>
      <c r="D27" s="42"/>
      <c r="E27" s="172"/>
      <c r="F27" s="172"/>
      <c r="G27" s="182"/>
      <c r="H27" s="172"/>
      <c r="I27" s="172"/>
      <c r="J27" s="172"/>
      <c r="K27" s="183"/>
      <c r="L27" s="57"/>
    </row>
    <row r="28" spans="1:13" x14ac:dyDescent="0.25">
      <c r="A28" s="148"/>
      <c r="B28" s="26" t="s">
        <v>379</v>
      </c>
      <c r="C28" s="41" t="s">
        <v>294</v>
      </c>
      <c r="D28" s="42"/>
      <c r="E28" s="172"/>
      <c r="F28" s="172"/>
      <c r="G28" s="182"/>
      <c r="H28" s="172"/>
      <c r="I28" s="172"/>
      <c r="J28" s="172"/>
      <c r="K28" s="183"/>
      <c r="L28" s="57"/>
    </row>
    <row r="29" spans="1:13" x14ac:dyDescent="0.25">
      <c r="A29" s="148" t="s">
        <v>320</v>
      </c>
      <c r="B29" s="26" t="s">
        <v>380</v>
      </c>
      <c r="C29" s="41" t="s">
        <v>292</v>
      </c>
      <c r="D29" s="42">
        <v>2</v>
      </c>
      <c r="E29" s="181" t="e">
        <f>STDEV(D29:D31)/AVERAGE(D29:D31)</f>
        <v>#DIV/0!</v>
      </c>
      <c r="F29" s="172">
        <v>1</v>
      </c>
      <c r="G29" s="182">
        <f>AVERAGE(D29:D31)</f>
        <v>2</v>
      </c>
      <c r="H29" s="172">
        <v>5.8</v>
      </c>
      <c r="I29" s="172">
        <v>5.8</v>
      </c>
      <c r="J29" s="172">
        <f>1/F29</f>
        <v>1</v>
      </c>
      <c r="K29" s="183">
        <f>(G29/I29)*J29*H29</f>
        <v>2</v>
      </c>
      <c r="L29" s="57"/>
    </row>
    <row r="30" spans="1:13" x14ac:dyDescent="0.25">
      <c r="A30" s="148"/>
      <c r="B30" s="26" t="s">
        <v>381</v>
      </c>
      <c r="C30" s="41" t="s">
        <v>293</v>
      </c>
      <c r="D30" s="42"/>
      <c r="E30" s="172"/>
      <c r="F30" s="172"/>
      <c r="G30" s="182"/>
      <c r="H30" s="172"/>
      <c r="I30" s="172"/>
      <c r="J30" s="172"/>
      <c r="K30" s="183"/>
      <c r="L30" s="57"/>
    </row>
    <row r="31" spans="1:13" x14ac:dyDescent="0.25">
      <c r="A31" s="148"/>
      <c r="B31" s="26" t="s">
        <v>382</v>
      </c>
      <c r="C31" s="41" t="s">
        <v>294</v>
      </c>
      <c r="D31" s="42"/>
      <c r="E31" s="172"/>
      <c r="F31" s="172"/>
      <c r="G31" s="182"/>
      <c r="H31" s="172"/>
      <c r="I31" s="172"/>
      <c r="J31" s="172"/>
      <c r="K31" s="184"/>
      <c r="L31" s="57"/>
    </row>
    <row r="32" spans="1:13" x14ac:dyDescent="0.25">
      <c r="A32" s="148" t="s">
        <v>324</v>
      </c>
      <c r="B32" s="26" t="s">
        <v>383</v>
      </c>
      <c r="C32" s="41" t="s">
        <v>292</v>
      </c>
      <c r="D32" s="42">
        <v>0</v>
      </c>
      <c r="E32" s="181" t="e">
        <f>STDEV(D32:D34)/AVERAGE(D32:D34)</f>
        <v>#DIV/0!</v>
      </c>
      <c r="F32" s="172">
        <v>1</v>
      </c>
      <c r="G32" s="182">
        <f>AVERAGE(D32:D34)</f>
        <v>0</v>
      </c>
      <c r="H32" s="172">
        <v>4.5999999999999996</v>
      </c>
      <c r="I32" s="172">
        <v>4.5999999999999996</v>
      </c>
      <c r="J32" s="172">
        <f>1/F32</f>
        <v>1</v>
      </c>
      <c r="K32" s="183">
        <f>(G32/I32)*J32*H32</f>
        <v>0</v>
      </c>
      <c r="L32" s="59"/>
    </row>
    <row r="33" spans="1:17" x14ac:dyDescent="0.25">
      <c r="A33" s="148"/>
      <c r="B33" s="26" t="s">
        <v>384</v>
      </c>
      <c r="C33" s="41" t="s">
        <v>293</v>
      </c>
      <c r="D33" s="42"/>
      <c r="E33" s="172"/>
      <c r="F33" s="172"/>
      <c r="G33" s="182"/>
      <c r="H33" s="172"/>
      <c r="I33" s="172"/>
      <c r="J33" s="172"/>
      <c r="K33" s="183"/>
      <c r="L33" s="57"/>
    </row>
    <row r="34" spans="1:17" x14ac:dyDescent="0.25">
      <c r="A34" s="148"/>
      <c r="B34" s="26" t="s">
        <v>385</v>
      </c>
      <c r="C34" s="41" t="s">
        <v>294</v>
      </c>
      <c r="D34" s="42"/>
      <c r="E34" s="172"/>
      <c r="F34" s="172"/>
      <c r="G34" s="182"/>
      <c r="H34" s="172"/>
      <c r="I34" s="172"/>
      <c r="J34" s="172"/>
      <c r="K34" s="183"/>
      <c r="L34" s="57"/>
    </row>
    <row r="35" spans="1:17" x14ac:dyDescent="0.25">
      <c r="A35" s="148" t="s">
        <v>328</v>
      </c>
      <c r="B35" s="26" t="s">
        <v>386</v>
      </c>
      <c r="C35" s="41" t="s">
        <v>292</v>
      </c>
      <c r="D35" s="42">
        <v>0</v>
      </c>
      <c r="E35" s="181" t="e">
        <f>STDEV(D35:D37)/AVERAGE(D35:D37)</f>
        <v>#DIV/0!</v>
      </c>
      <c r="F35" s="172">
        <v>1</v>
      </c>
      <c r="G35" s="182">
        <f>AVERAGE(D35:D37)</f>
        <v>0</v>
      </c>
      <c r="H35" s="172">
        <v>5.6</v>
      </c>
      <c r="I35" s="172">
        <v>5.6</v>
      </c>
      <c r="J35" s="172">
        <f>1/F35</f>
        <v>1</v>
      </c>
      <c r="K35" s="183">
        <f>(G35/I35)*J35*H35</f>
        <v>0</v>
      </c>
      <c r="L35" s="57"/>
    </row>
    <row r="36" spans="1:17" x14ac:dyDescent="0.25">
      <c r="A36" s="148"/>
      <c r="B36" s="26" t="s">
        <v>387</v>
      </c>
      <c r="C36" s="41" t="s">
        <v>293</v>
      </c>
      <c r="D36" s="42"/>
      <c r="E36" s="172"/>
      <c r="F36" s="172"/>
      <c r="G36" s="182"/>
      <c r="H36" s="172"/>
      <c r="I36" s="172"/>
      <c r="J36" s="172"/>
      <c r="K36" s="183"/>
      <c r="L36" s="57"/>
    </row>
    <row r="37" spans="1:17" x14ac:dyDescent="0.25">
      <c r="A37" s="148"/>
      <c r="B37" s="26" t="s">
        <v>388</v>
      </c>
      <c r="C37" s="41" t="s">
        <v>294</v>
      </c>
      <c r="D37" s="42"/>
      <c r="E37" s="172"/>
      <c r="F37" s="172"/>
      <c r="G37" s="182"/>
      <c r="H37" s="172"/>
      <c r="I37" s="172"/>
      <c r="J37" s="172"/>
      <c r="K37" s="183"/>
      <c r="L37" s="60"/>
    </row>
    <row r="38" spans="1:17" x14ac:dyDescent="0.25">
      <c r="A38" s="148" t="s">
        <v>332</v>
      </c>
      <c r="B38" s="26" t="s">
        <v>389</v>
      </c>
      <c r="C38" s="41" t="s">
        <v>292</v>
      </c>
      <c r="D38" s="50">
        <v>0</v>
      </c>
      <c r="E38" s="181" t="e">
        <f>STDEV(D38:D40)/AVERAGE(D38:D40)</f>
        <v>#DIV/0!</v>
      </c>
      <c r="F38" s="172">
        <v>1</v>
      </c>
      <c r="G38" s="182">
        <f>AVERAGE(D38:D40)</f>
        <v>0</v>
      </c>
      <c r="H38" s="172">
        <v>4.4000000000000004</v>
      </c>
      <c r="I38" s="172">
        <v>4.4000000000000004</v>
      </c>
      <c r="J38" s="172">
        <f>1/F38</f>
        <v>1</v>
      </c>
      <c r="K38" s="183">
        <f>(G38/I38)*J38*H38</f>
        <v>0</v>
      </c>
    </row>
    <row r="39" spans="1:17" x14ac:dyDescent="0.25">
      <c r="A39" s="148"/>
      <c r="B39" s="26"/>
      <c r="C39" s="41" t="s">
        <v>293</v>
      </c>
      <c r="D39" s="50"/>
      <c r="E39" s="172"/>
      <c r="F39" s="172"/>
      <c r="G39" s="182"/>
      <c r="H39" s="172"/>
      <c r="I39" s="172"/>
      <c r="J39" s="172"/>
      <c r="K39" s="183"/>
    </row>
    <row r="40" spans="1:17" x14ac:dyDescent="0.25">
      <c r="A40" s="148"/>
      <c r="B40" s="26"/>
      <c r="C40" s="41" t="s">
        <v>294</v>
      </c>
      <c r="D40" s="50"/>
      <c r="E40" s="172"/>
      <c r="F40" s="172"/>
      <c r="G40" s="182"/>
      <c r="H40" s="172"/>
      <c r="I40" s="172"/>
      <c r="J40" s="172"/>
      <c r="K40" s="183"/>
    </row>
    <row r="41" spans="1:17" x14ac:dyDescent="0.25">
      <c r="D41"/>
      <c r="E41"/>
    </row>
    <row r="42" spans="1:17" x14ac:dyDescent="0.25">
      <c r="D42"/>
      <c r="E42"/>
      <c r="P42" s="11" t="s">
        <v>797</v>
      </c>
      <c r="Q42" s="11"/>
    </row>
    <row r="43" spans="1:17" x14ac:dyDescent="0.25">
      <c r="A43" t="s">
        <v>764</v>
      </c>
      <c r="B43" s="11"/>
      <c r="C43" s="11" t="s">
        <v>759</v>
      </c>
      <c r="D43"/>
      <c r="E43" s="23" t="s">
        <v>763</v>
      </c>
      <c r="P43" s="106" t="s">
        <v>798</v>
      </c>
      <c r="Q43" s="11" t="s">
        <v>472</v>
      </c>
    </row>
    <row r="44" spans="1:17" ht="45" x14ac:dyDescent="0.25">
      <c r="A44" s="5" t="s">
        <v>42</v>
      </c>
      <c r="B44" s="6" t="s">
        <v>43</v>
      </c>
      <c r="C44" s="7" t="s">
        <v>44</v>
      </c>
      <c r="D44" s="7" t="s">
        <v>45</v>
      </c>
      <c r="E44" s="8" t="s">
        <v>46</v>
      </c>
      <c r="F44" s="9" t="s">
        <v>47</v>
      </c>
      <c r="G44" s="10" t="s">
        <v>48</v>
      </c>
      <c r="H44" s="10" t="s">
        <v>781</v>
      </c>
      <c r="K44" s="12" t="s">
        <v>774</v>
      </c>
      <c r="L44" s="11"/>
      <c r="M44" s="11" t="s">
        <v>773</v>
      </c>
      <c r="N44" s="12" t="s">
        <v>472</v>
      </c>
      <c r="P44" s="12">
        <f>AVERAGE(K46:K48)</f>
        <v>5.5657764311002476</v>
      </c>
      <c r="Q44" s="12">
        <f>SQRT(VAR(K46:K48)/3)</f>
        <v>5.9611559228272833E-2</v>
      </c>
    </row>
    <row r="45" spans="1:17" ht="25.5" x14ac:dyDescent="0.25">
      <c r="A45" s="13" t="s">
        <v>746</v>
      </c>
      <c r="B45" s="14">
        <v>1</v>
      </c>
      <c r="C45" s="15"/>
      <c r="D45" s="16"/>
      <c r="E45" s="17"/>
      <c r="F45" s="15">
        <f>K11</f>
        <v>612000</v>
      </c>
      <c r="G45" s="149" t="s">
        <v>51</v>
      </c>
      <c r="H45" s="155"/>
      <c r="K45" s="12">
        <f>LOG(F45)</f>
        <v>5.7867514221455609</v>
      </c>
      <c r="L45" s="11"/>
      <c r="M45" s="12">
        <f>(LOG(GEOMEAN(F46:F48)))-(LOG(GEOMEAN(F49:F53)))</f>
        <v>5.5055704319674525</v>
      </c>
      <c r="N45" s="90">
        <f>SQRT(VAR(K46:K48)/3+(VAR(K49:K53)/5))</f>
        <v>8.4724850694493065E-2</v>
      </c>
    </row>
    <row r="46" spans="1:17" x14ac:dyDescent="0.25">
      <c r="A46" s="148" t="s">
        <v>748</v>
      </c>
      <c r="B46" s="14">
        <v>1</v>
      </c>
      <c r="C46" s="15"/>
      <c r="D46" s="16"/>
      <c r="E46" s="17"/>
      <c r="F46" s="15">
        <f>K14</f>
        <v>446600</v>
      </c>
      <c r="G46" s="156">
        <f>AVERAGE(F46:F48)</f>
        <v>374677.77777777775</v>
      </c>
      <c r="H46" s="159">
        <f>STDEV(F46:F48)</f>
        <v>84105.517941144397</v>
      </c>
      <c r="K46" s="12">
        <f t="shared" ref="K46:K53" si="0">LOG(F46)</f>
        <v>5.6499187187354192</v>
      </c>
      <c r="L46" s="11"/>
      <c r="M46" s="11"/>
      <c r="N46" s="12"/>
    </row>
    <row r="47" spans="1:17" x14ac:dyDescent="0.25">
      <c r="A47" s="148"/>
      <c r="B47" s="14">
        <v>2</v>
      </c>
      <c r="C47" s="15"/>
      <c r="D47" s="16"/>
      <c r="E47" s="17"/>
      <c r="F47" s="15">
        <f>K17</f>
        <v>282200</v>
      </c>
      <c r="G47" s="157"/>
      <c r="H47" s="160"/>
      <c r="K47" s="12">
        <f t="shared" si="0"/>
        <v>5.4505570094183291</v>
      </c>
      <c r="L47" s="11"/>
      <c r="M47" s="11"/>
      <c r="N47" s="12"/>
    </row>
    <row r="48" spans="1:17" x14ac:dyDescent="0.25">
      <c r="A48" s="148"/>
      <c r="B48" s="14">
        <v>3</v>
      </c>
      <c r="C48" s="15"/>
      <c r="D48" s="16"/>
      <c r="E48" s="17"/>
      <c r="F48" s="15">
        <f>K20</f>
        <v>395233.33333333331</v>
      </c>
      <c r="G48" s="158"/>
      <c r="H48" s="161"/>
      <c r="K48" s="12">
        <f t="shared" si="0"/>
        <v>5.5968535651469962</v>
      </c>
      <c r="L48" s="11"/>
      <c r="M48" s="11"/>
      <c r="N48" s="12"/>
    </row>
    <row r="49" spans="1:14" x14ac:dyDescent="0.25">
      <c r="A49" s="148" t="s">
        <v>749</v>
      </c>
      <c r="B49" s="14">
        <v>1</v>
      </c>
      <c r="C49" s="65"/>
      <c r="D49" s="17"/>
      <c r="E49" s="15"/>
      <c r="F49" s="91">
        <v>1</v>
      </c>
      <c r="G49" s="145">
        <f>AVERAGE(F49:F53)</f>
        <v>1.2</v>
      </c>
      <c r="H49" s="147">
        <f>STDEV(F49:F53)</f>
        <v>0.44721359549995787</v>
      </c>
      <c r="K49" s="12">
        <f t="shared" si="0"/>
        <v>0</v>
      </c>
      <c r="L49" s="11"/>
      <c r="M49" s="11"/>
      <c r="N49" s="12"/>
    </row>
    <row r="50" spans="1:14" x14ac:dyDescent="0.25">
      <c r="A50" s="148"/>
      <c r="B50" s="14">
        <v>2</v>
      </c>
      <c r="C50" s="65"/>
      <c r="D50" s="17"/>
      <c r="E50" s="15"/>
      <c r="F50" s="91">
        <v>1</v>
      </c>
      <c r="G50" s="162"/>
      <c r="H50" s="164"/>
      <c r="K50" s="12">
        <f t="shared" si="0"/>
        <v>0</v>
      </c>
      <c r="L50" s="11"/>
      <c r="M50" s="11"/>
      <c r="N50" s="12"/>
    </row>
    <row r="51" spans="1:14" x14ac:dyDescent="0.25">
      <c r="A51" s="148"/>
      <c r="B51" s="14">
        <v>3</v>
      </c>
      <c r="C51" s="65"/>
      <c r="D51" s="17"/>
      <c r="E51" s="15"/>
      <c r="F51" s="65">
        <v>2</v>
      </c>
      <c r="G51" s="162"/>
      <c r="H51" s="164"/>
      <c r="K51" s="12">
        <f t="shared" si="0"/>
        <v>0.3010299956639812</v>
      </c>
      <c r="L51" s="11"/>
      <c r="M51" s="11"/>
      <c r="N51" s="12"/>
    </row>
    <row r="52" spans="1:14" x14ac:dyDescent="0.25">
      <c r="A52" s="148"/>
      <c r="B52" s="14">
        <v>4</v>
      </c>
      <c r="C52" s="65"/>
      <c r="D52" s="17"/>
      <c r="E52" s="15"/>
      <c r="F52" s="91">
        <v>1</v>
      </c>
      <c r="G52" s="162"/>
      <c r="H52" s="164"/>
      <c r="K52" s="12">
        <f t="shared" si="0"/>
        <v>0</v>
      </c>
      <c r="L52" s="11"/>
      <c r="M52" s="11"/>
      <c r="N52" s="12"/>
    </row>
    <row r="53" spans="1:14" x14ac:dyDescent="0.25">
      <c r="A53" s="148"/>
      <c r="B53" s="14">
        <v>5</v>
      </c>
      <c r="C53" s="65"/>
      <c r="D53" s="17"/>
      <c r="E53" s="15"/>
      <c r="F53" s="91">
        <v>1</v>
      </c>
      <c r="G53" s="163"/>
      <c r="H53" s="165"/>
      <c r="K53" s="12">
        <f t="shared" si="0"/>
        <v>0</v>
      </c>
      <c r="L53" s="11"/>
      <c r="M53" s="11"/>
      <c r="N53" s="12"/>
    </row>
    <row r="54" spans="1:14" x14ac:dyDescent="0.25">
      <c r="D54"/>
      <c r="E54"/>
    </row>
    <row r="55" spans="1:14" x14ac:dyDescent="0.25">
      <c r="D55"/>
      <c r="E55"/>
    </row>
    <row r="56" spans="1:14" x14ac:dyDescent="0.25">
      <c r="F56" s="92" t="s">
        <v>775</v>
      </c>
      <c r="G56" s="23"/>
      <c r="H56" s="11"/>
      <c r="I56" s="11"/>
      <c r="J56" s="24"/>
      <c r="K56" s="24" t="s">
        <v>779</v>
      </c>
      <c r="L56" s="11"/>
      <c r="M56" s="11"/>
    </row>
    <row r="57" spans="1:14" x14ac:dyDescent="0.25">
      <c r="F57" s="23" t="s">
        <v>776</v>
      </c>
      <c r="G57" s="12"/>
      <c r="H57" s="11"/>
      <c r="I57" s="11"/>
      <c r="J57" s="24"/>
      <c r="K57" s="12"/>
      <c r="L57" s="11"/>
      <c r="M57" s="11"/>
    </row>
    <row r="58" spans="1:14" x14ac:dyDescent="0.25">
      <c r="B58" s="11" t="s">
        <v>808</v>
      </c>
      <c r="C58" s="11" t="s">
        <v>810</v>
      </c>
      <c r="D58" s="12" t="s">
        <v>809</v>
      </c>
      <c r="F58" s="23" t="s">
        <v>777</v>
      </c>
      <c r="G58" s="23"/>
      <c r="H58" s="11"/>
      <c r="I58" s="11"/>
      <c r="J58" s="24"/>
      <c r="K58" s="12"/>
      <c r="L58" s="11"/>
      <c r="M58" s="11"/>
    </row>
    <row r="59" spans="1:14" x14ac:dyDescent="0.25">
      <c r="A59" t="s">
        <v>799</v>
      </c>
      <c r="B59" s="11">
        <f>LOG(F46)</f>
        <v>5.6499187187354192</v>
      </c>
      <c r="C59" s="12">
        <f>AVERAGE(B59:B61)</f>
        <v>5.5657764311002476</v>
      </c>
      <c r="D59" s="12">
        <f>STDEV(B59:B61)</f>
        <v>0.10325024930176992</v>
      </c>
    </row>
    <row r="60" spans="1:14" x14ac:dyDescent="0.25">
      <c r="B60" s="11">
        <f t="shared" ref="B60:B66" si="1">LOG(F47)</f>
        <v>5.4505570094183291</v>
      </c>
      <c r="C60" s="11"/>
      <c r="D60" s="12"/>
    </row>
    <row r="61" spans="1:14" x14ac:dyDescent="0.25">
      <c r="B61" s="11">
        <f t="shared" si="1"/>
        <v>5.5968535651469962</v>
      </c>
      <c r="C61" s="11"/>
      <c r="D61" s="12"/>
    </row>
    <row r="62" spans="1:14" x14ac:dyDescent="0.25">
      <c r="A62" t="s">
        <v>807</v>
      </c>
      <c r="B62" s="11">
        <f t="shared" si="1"/>
        <v>0</v>
      </c>
      <c r="C62" s="11">
        <f>AVERAGE(B62:B66)</f>
        <v>6.0205999132796242E-2</v>
      </c>
      <c r="D62" s="12">
        <f>STDEV(B62:B66)</f>
        <v>0.13462470671422577</v>
      </c>
    </row>
    <row r="63" spans="1:14" x14ac:dyDescent="0.25">
      <c r="B63" s="11">
        <f t="shared" si="1"/>
        <v>0</v>
      </c>
      <c r="C63" s="11"/>
      <c r="D63" s="12"/>
    </row>
    <row r="64" spans="1:14" x14ac:dyDescent="0.25">
      <c r="B64" s="11">
        <f t="shared" si="1"/>
        <v>0.3010299956639812</v>
      </c>
      <c r="C64" s="11"/>
      <c r="D64" s="12"/>
    </row>
    <row r="65" spans="2:4" x14ac:dyDescent="0.25">
      <c r="B65" s="11">
        <f t="shared" si="1"/>
        <v>0</v>
      </c>
      <c r="C65" s="11"/>
      <c r="D65" s="12"/>
    </row>
    <row r="66" spans="2:4" x14ac:dyDescent="0.25">
      <c r="B66" s="11">
        <f t="shared" si="1"/>
        <v>0</v>
      </c>
      <c r="C66" s="11"/>
      <c r="D66" s="12"/>
    </row>
  </sheetData>
  <mergeCells count="109">
    <mergeCell ref="A49:A53"/>
    <mergeCell ref="G49:G53"/>
    <mergeCell ref="H49:H53"/>
    <mergeCell ref="J38:J40"/>
    <mergeCell ref="K38:K40"/>
    <mergeCell ref="G45:H45"/>
    <mergeCell ref="A46:A48"/>
    <mergeCell ref="G46:G48"/>
    <mergeCell ref="H46:H48"/>
    <mergeCell ref="A38:A40"/>
    <mergeCell ref="E38:E40"/>
    <mergeCell ref="F38:F40"/>
    <mergeCell ref="G38:G40"/>
    <mergeCell ref="H38:H40"/>
    <mergeCell ref="I38:I40"/>
    <mergeCell ref="J32:J34"/>
    <mergeCell ref="K32:K34"/>
    <mergeCell ref="A35:A37"/>
    <mergeCell ref="E35:E37"/>
    <mergeCell ref="F35:F37"/>
    <mergeCell ref="G35:G37"/>
    <mergeCell ref="H35:H37"/>
    <mergeCell ref="I35:I37"/>
    <mergeCell ref="J35:J37"/>
    <mergeCell ref="K35:K37"/>
    <mergeCell ref="A32:A34"/>
    <mergeCell ref="E32:E34"/>
    <mergeCell ref="F32:F34"/>
    <mergeCell ref="G32:G34"/>
    <mergeCell ref="H32:H34"/>
    <mergeCell ref="I32:I34"/>
    <mergeCell ref="J26:J28"/>
    <mergeCell ref="K26:K28"/>
    <mergeCell ref="A29:A31"/>
    <mergeCell ref="E29:E31"/>
    <mergeCell ref="F29:F31"/>
    <mergeCell ref="G29:G31"/>
    <mergeCell ref="H29:H31"/>
    <mergeCell ref="I29:I31"/>
    <mergeCell ref="J29:J31"/>
    <mergeCell ref="K29:K31"/>
    <mergeCell ref="A26:A28"/>
    <mergeCell ref="E26:E28"/>
    <mergeCell ref="F26:F28"/>
    <mergeCell ref="G26:G28"/>
    <mergeCell ref="H26:H28"/>
    <mergeCell ref="I26:I28"/>
    <mergeCell ref="J20:J22"/>
    <mergeCell ref="K20:K22"/>
    <mergeCell ref="A23:A25"/>
    <mergeCell ref="E23:E25"/>
    <mergeCell ref="F23:F25"/>
    <mergeCell ref="G23:G25"/>
    <mergeCell ref="H23:H25"/>
    <mergeCell ref="I23:I25"/>
    <mergeCell ref="J23:J25"/>
    <mergeCell ref="K23:K25"/>
    <mergeCell ref="A20:A22"/>
    <mergeCell ref="E20:E22"/>
    <mergeCell ref="F20:F22"/>
    <mergeCell ref="G20:G22"/>
    <mergeCell ref="H20:H22"/>
    <mergeCell ref="I20:I22"/>
    <mergeCell ref="J14:J16"/>
    <mergeCell ref="K14:K16"/>
    <mergeCell ref="A17:A19"/>
    <mergeCell ref="E17:E19"/>
    <mergeCell ref="F17:F19"/>
    <mergeCell ref="G17:G19"/>
    <mergeCell ref="H17:H19"/>
    <mergeCell ref="I17:I19"/>
    <mergeCell ref="J17:J19"/>
    <mergeCell ref="K17:K19"/>
    <mergeCell ref="A14:A16"/>
    <mergeCell ref="E14:E16"/>
    <mergeCell ref="F14:F16"/>
    <mergeCell ref="G14:G16"/>
    <mergeCell ref="H14:H16"/>
    <mergeCell ref="I14:I16"/>
    <mergeCell ref="A8:A10"/>
    <mergeCell ref="E8:E10"/>
    <mergeCell ref="F8:F10"/>
    <mergeCell ref="G8:G10"/>
    <mergeCell ref="H8:H10"/>
    <mergeCell ref="I8:I10"/>
    <mergeCell ref="J8:J10"/>
    <mergeCell ref="K8:K10"/>
    <mergeCell ref="A11:A13"/>
    <mergeCell ref="E11:E13"/>
    <mergeCell ref="F11:F13"/>
    <mergeCell ref="G11:G13"/>
    <mergeCell ref="H11:H13"/>
    <mergeCell ref="I11:I13"/>
    <mergeCell ref="J11:J13"/>
    <mergeCell ref="K11:K13"/>
    <mergeCell ref="O2:P2"/>
    <mergeCell ref="O3:P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conditionalFormatting sqref="E8:E40">
    <cfRule type="cellIs" dxfId="0" priority="1" operator="greaterThan">
      <formula>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topLeftCell="A34" workbookViewId="0">
      <selection activeCell="B59" sqref="B59:B61"/>
    </sheetView>
  </sheetViews>
  <sheetFormatPr defaultRowHeight="15" x14ac:dyDescent="0.25"/>
  <cols>
    <col min="2" max="2" width="9.140625" style="11"/>
    <col min="3" max="3" width="13.42578125" style="11" customWidth="1"/>
    <col min="4" max="4" width="9.140625" style="11"/>
    <col min="5" max="5" width="9.140625" style="12"/>
    <col min="6" max="6" width="9.140625" style="23"/>
    <col min="7" max="7" width="9.140625" style="11"/>
    <col min="8" max="8" width="12.42578125" style="11" customWidth="1"/>
    <col min="9" max="9" width="11.140625" style="11" customWidth="1"/>
    <col min="10" max="10" width="9.140625" style="24"/>
    <col min="11" max="11" width="11.5703125" style="12" customWidth="1"/>
    <col min="12" max="13" width="9.140625" style="11"/>
    <col min="14" max="14" width="10.5703125" style="12" bestFit="1" customWidth="1"/>
    <col min="15" max="15" width="9.140625" style="12"/>
    <col min="16" max="16" width="9.140625" style="11"/>
    <col min="17" max="17" width="13.28515625" style="11" customWidth="1"/>
    <col min="18" max="23" width="9.140625" style="11"/>
    <col min="24" max="25" width="9.140625" style="12"/>
    <col min="26" max="26" width="9.140625" style="24"/>
    <col min="27" max="27" width="21.7109375" customWidth="1"/>
    <col min="259" max="259" width="13.42578125" customWidth="1"/>
    <col min="264" max="264" width="12.42578125" customWidth="1"/>
    <col min="265" max="265" width="11.140625" customWidth="1"/>
    <col min="267" max="267" width="11.5703125" customWidth="1"/>
    <col min="273" max="273" width="13.28515625" customWidth="1"/>
    <col min="283" max="283" width="21.7109375" customWidth="1"/>
    <col min="515" max="515" width="13.42578125" customWidth="1"/>
    <col min="520" max="520" width="12.42578125" customWidth="1"/>
    <col min="521" max="521" width="11.140625" customWidth="1"/>
    <col min="523" max="523" width="11.5703125" customWidth="1"/>
    <col min="529" max="529" width="13.28515625" customWidth="1"/>
    <col min="539" max="539" width="21.7109375" customWidth="1"/>
    <col min="771" max="771" width="13.42578125" customWidth="1"/>
    <col min="776" max="776" width="12.42578125" customWidth="1"/>
    <col min="777" max="777" width="11.140625" customWidth="1"/>
    <col min="779" max="779" width="11.5703125" customWidth="1"/>
    <col min="785" max="785" width="13.28515625" customWidth="1"/>
    <col min="795" max="795" width="21.7109375" customWidth="1"/>
    <col min="1027" max="1027" width="13.42578125" customWidth="1"/>
    <col min="1032" max="1032" width="12.42578125" customWidth="1"/>
    <col min="1033" max="1033" width="11.140625" customWidth="1"/>
    <col min="1035" max="1035" width="11.5703125" customWidth="1"/>
    <col min="1041" max="1041" width="13.28515625" customWidth="1"/>
    <col min="1051" max="1051" width="21.7109375" customWidth="1"/>
    <col min="1283" max="1283" width="13.42578125" customWidth="1"/>
    <col min="1288" max="1288" width="12.42578125" customWidth="1"/>
    <col min="1289" max="1289" width="11.140625" customWidth="1"/>
    <col min="1291" max="1291" width="11.5703125" customWidth="1"/>
    <col min="1297" max="1297" width="13.28515625" customWidth="1"/>
    <col min="1307" max="1307" width="21.7109375" customWidth="1"/>
    <col min="1539" max="1539" width="13.42578125" customWidth="1"/>
    <col min="1544" max="1544" width="12.42578125" customWidth="1"/>
    <col min="1545" max="1545" width="11.140625" customWidth="1"/>
    <col min="1547" max="1547" width="11.5703125" customWidth="1"/>
    <col min="1553" max="1553" width="13.28515625" customWidth="1"/>
    <col min="1563" max="1563" width="21.7109375" customWidth="1"/>
    <col min="1795" max="1795" width="13.42578125" customWidth="1"/>
    <col min="1800" max="1800" width="12.42578125" customWidth="1"/>
    <col min="1801" max="1801" width="11.140625" customWidth="1"/>
    <col min="1803" max="1803" width="11.5703125" customWidth="1"/>
    <col min="1809" max="1809" width="13.28515625" customWidth="1"/>
    <col min="1819" max="1819" width="21.7109375" customWidth="1"/>
    <col min="2051" max="2051" width="13.42578125" customWidth="1"/>
    <col min="2056" max="2056" width="12.42578125" customWidth="1"/>
    <col min="2057" max="2057" width="11.140625" customWidth="1"/>
    <col min="2059" max="2059" width="11.5703125" customWidth="1"/>
    <col min="2065" max="2065" width="13.28515625" customWidth="1"/>
    <col min="2075" max="2075" width="21.7109375" customWidth="1"/>
    <col min="2307" max="2307" width="13.42578125" customWidth="1"/>
    <col min="2312" max="2312" width="12.42578125" customWidth="1"/>
    <col min="2313" max="2313" width="11.140625" customWidth="1"/>
    <col min="2315" max="2315" width="11.5703125" customWidth="1"/>
    <col min="2321" max="2321" width="13.28515625" customWidth="1"/>
    <col min="2331" max="2331" width="21.7109375" customWidth="1"/>
    <col min="2563" max="2563" width="13.42578125" customWidth="1"/>
    <col min="2568" max="2568" width="12.42578125" customWidth="1"/>
    <col min="2569" max="2569" width="11.140625" customWidth="1"/>
    <col min="2571" max="2571" width="11.5703125" customWidth="1"/>
    <col min="2577" max="2577" width="13.28515625" customWidth="1"/>
    <col min="2587" max="2587" width="21.7109375" customWidth="1"/>
    <col min="2819" max="2819" width="13.42578125" customWidth="1"/>
    <col min="2824" max="2824" width="12.42578125" customWidth="1"/>
    <col min="2825" max="2825" width="11.140625" customWidth="1"/>
    <col min="2827" max="2827" width="11.5703125" customWidth="1"/>
    <col min="2833" max="2833" width="13.28515625" customWidth="1"/>
    <col min="2843" max="2843" width="21.7109375" customWidth="1"/>
    <col min="3075" max="3075" width="13.42578125" customWidth="1"/>
    <col min="3080" max="3080" width="12.42578125" customWidth="1"/>
    <col min="3081" max="3081" width="11.140625" customWidth="1"/>
    <col min="3083" max="3083" width="11.5703125" customWidth="1"/>
    <col min="3089" max="3089" width="13.28515625" customWidth="1"/>
    <col min="3099" max="3099" width="21.7109375" customWidth="1"/>
    <col min="3331" max="3331" width="13.42578125" customWidth="1"/>
    <col min="3336" max="3336" width="12.42578125" customWidth="1"/>
    <col min="3337" max="3337" width="11.140625" customWidth="1"/>
    <col min="3339" max="3339" width="11.5703125" customWidth="1"/>
    <col min="3345" max="3345" width="13.28515625" customWidth="1"/>
    <col min="3355" max="3355" width="21.7109375" customWidth="1"/>
    <col min="3587" max="3587" width="13.42578125" customWidth="1"/>
    <col min="3592" max="3592" width="12.42578125" customWidth="1"/>
    <col min="3593" max="3593" width="11.140625" customWidth="1"/>
    <col min="3595" max="3595" width="11.5703125" customWidth="1"/>
    <col min="3601" max="3601" width="13.28515625" customWidth="1"/>
    <col min="3611" max="3611" width="21.7109375" customWidth="1"/>
    <col min="3843" max="3843" width="13.42578125" customWidth="1"/>
    <col min="3848" max="3848" width="12.42578125" customWidth="1"/>
    <col min="3849" max="3849" width="11.140625" customWidth="1"/>
    <col min="3851" max="3851" width="11.5703125" customWidth="1"/>
    <col min="3857" max="3857" width="13.28515625" customWidth="1"/>
    <col min="3867" max="3867" width="21.7109375" customWidth="1"/>
    <col min="4099" max="4099" width="13.42578125" customWidth="1"/>
    <col min="4104" max="4104" width="12.42578125" customWidth="1"/>
    <col min="4105" max="4105" width="11.140625" customWidth="1"/>
    <col min="4107" max="4107" width="11.5703125" customWidth="1"/>
    <col min="4113" max="4113" width="13.28515625" customWidth="1"/>
    <col min="4123" max="4123" width="21.7109375" customWidth="1"/>
    <col min="4355" max="4355" width="13.42578125" customWidth="1"/>
    <col min="4360" max="4360" width="12.42578125" customWidth="1"/>
    <col min="4361" max="4361" width="11.140625" customWidth="1"/>
    <col min="4363" max="4363" width="11.5703125" customWidth="1"/>
    <col min="4369" max="4369" width="13.28515625" customWidth="1"/>
    <col min="4379" max="4379" width="21.7109375" customWidth="1"/>
    <col min="4611" max="4611" width="13.42578125" customWidth="1"/>
    <col min="4616" max="4616" width="12.42578125" customWidth="1"/>
    <col min="4617" max="4617" width="11.140625" customWidth="1"/>
    <col min="4619" max="4619" width="11.5703125" customWidth="1"/>
    <col min="4625" max="4625" width="13.28515625" customWidth="1"/>
    <col min="4635" max="4635" width="21.7109375" customWidth="1"/>
    <col min="4867" max="4867" width="13.42578125" customWidth="1"/>
    <col min="4872" max="4872" width="12.42578125" customWidth="1"/>
    <col min="4873" max="4873" width="11.140625" customWidth="1"/>
    <col min="4875" max="4875" width="11.5703125" customWidth="1"/>
    <col min="4881" max="4881" width="13.28515625" customWidth="1"/>
    <col min="4891" max="4891" width="21.7109375" customWidth="1"/>
    <col min="5123" max="5123" width="13.42578125" customWidth="1"/>
    <col min="5128" max="5128" width="12.42578125" customWidth="1"/>
    <col min="5129" max="5129" width="11.140625" customWidth="1"/>
    <col min="5131" max="5131" width="11.5703125" customWidth="1"/>
    <col min="5137" max="5137" width="13.28515625" customWidth="1"/>
    <col min="5147" max="5147" width="21.7109375" customWidth="1"/>
    <col min="5379" max="5379" width="13.42578125" customWidth="1"/>
    <col min="5384" max="5384" width="12.42578125" customWidth="1"/>
    <col min="5385" max="5385" width="11.140625" customWidth="1"/>
    <col min="5387" max="5387" width="11.5703125" customWidth="1"/>
    <col min="5393" max="5393" width="13.28515625" customWidth="1"/>
    <col min="5403" max="5403" width="21.7109375" customWidth="1"/>
    <col min="5635" max="5635" width="13.42578125" customWidth="1"/>
    <col min="5640" max="5640" width="12.42578125" customWidth="1"/>
    <col min="5641" max="5641" width="11.140625" customWidth="1"/>
    <col min="5643" max="5643" width="11.5703125" customWidth="1"/>
    <col min="5649" max="5649" width="13.28515625" customWidth="1"/>
    <col min="5659" max="5659" width="21.7109375" customWidth="1"/>
    <col min="5891" max="5891" width="13.42578125" customWidth="1"/>
    <col min="5896" max="5896" width="12.42578125" customWidth="1"/>
    <col min="5897" max="5897" width="11.140625" customWidth="1"/>
    <col min="5899" max="5899" width="11.5703125" customWidth="1"/>
    <col min="5905" max="5905" width="13.28515625" customWidth="1"/>
    <col min="5915" max="5915" width="21.7109375" customWidth="1"/>
    <col min="6147" max="6147" width="13.42578125" customWidth="1"/>
    <col min="6152" max="6152" width="12.42578125" customWidth="1"/>
    <col min="6153" max="6153" width="11.140625" customWidth="1"/>
    <col min="6155" max="6155" width="11.5703125" customWidth="1"/>
    <col min="6161" max="6161" width="13.28515625" customWidth="1"/>
    <col min="6171" max="6171" width="21.7109375" customWidth="1"/>
    <col min="6403" max="6403" width="13.42578125" customWidth="1"/>
    <col min="6408" max="6408" width="12.42578125" customWidth="1"/>
    <col min="6409" max="6409" width="11.140625" customWidth="1"/>
    <col min="6411" max="6411" width="11.5703125" customWidth="1"/>
    <col min="6417" max="6417" width="13.28515625" customWidth="1"/>
    <col min="6427" max="6427" width="21.7109375" customWidth="1"/>
    <col min="6659" max="6659" width="13.42578125" customWidth="1"/>
    <col min="6664" max="6664" width="12.42578125" customWidth="1"/>
    <col min="6665" max="6665" width="11.140625" customWidth="1"/>
    <col min="6667" max="6667" width="11.5703125" customWidth="1"/>
    <col min="6673" max="6673" width="13.28515625" customWidth="1"/>
    <col min="6683" max="6683" width="21.7109375" customWidth="1"/>
    <col min="6915" max="6915" width="13.42578125" customWidth="1"/>
    <col min="6920" max="6920" width="12.42578125" customWidth="1"/>
    <col min="6921" max="6921" width="11.140625" customWidth="1"/>
    <col min="6923" max="6923" width="11.5703125" customWidth="1"/>
    <col min="6929" max="6929" width="13.28515625" customWidth="1"/>
    <col min="6939" max="6939" width="21.7109375" customWidth="1"/>
    <col min="7171" max="7171" width="13.42578125" customWidth="1"/>
    <col min="7176" max="7176" width="12.42578125" customWidth="1"/>
    <col min="7177" max="7177" width="11.140625" customWidth="1"/>
    <col min="7179" max="7179" width="11.5703125" customWidth="1"/>
    <col min="7185" max="7185" width="13.28515625" customWidth="1"/>
    <col min="7195" max="7195" width="21.7109375" customWidth="1"/>
    <col min="7427" max="7427" width="13.42578125" customWidth="1"/>
    <col min="7432" max="7432" width="12.42578125" customWidth="1"/>
    <col min="7433" max="7433" width="11.140625" customWidth="1"/>
    <col min="7435" max="7435" width="11.5703125" customWidth="1"/>
    <col min="7441" max="7441" width="13.28515625" customWidth="1"/>
    <col min="7451" max="7451" width="21.7109375" customWidth="1"/>
    <col min="7683" max="7683" width="13.42578125" customWidth="1"/>
    <col min="7688" max="7688" width="12.42578125" customWidth="1"/>
    <col min="7689" max="7689" width="11.140625" customWidth="1"/>
    <col min="7691" max="7691" width="11.5703125" customWidth="1"/>
    <col min="7697" max="7697" width="13.28515625" customWidth="1"/>
    <col min="7707" max="7707" width="21.7109375" customWidth="1"/>
    <col min="7939" max="7939" width="13.42578125" customWidth="1"/>
    <col min="7944" max="7944" width="12.42578125" customWidth="1"/>
    <col min="7945" max="7945" width="11.140625" customWidth="1"/>
    <col min="7947" max="7947" width="11.5703125" customWidth="1"/>
    <col min="7953" max="7953" width="13.28515625" customWidth="1"/>
    <col min="7963" max="7963" width="21.7109375" customWidth="1"/>
    <col min="8195" max="8195" width="13.42578125" customWidth="1"/>
    <col min="8200" max="8200" width="12.42578125" customWidth="1"/>
    <col min="8201" max="8201" width="11.140625" customWidth="1"/>
    <col min="8203" max="8203" width="11.5703125" customWidth="1"/>
    <col min="8209" max="8209" width="13.28515625" customWidth="1"/>
    <col min="8219" max="8219" width="21.7109375" customWidth="1"/>
    <col min="8451" max="8451" width="13.42578125" customWidth="1"/>
    <col min="8456" max="8456" width="12.42578125" customWidth="1"/>
    <col min="8457" max="8457" width="11.140625" customWidth="1"/>
    <col min="8459" max="8459" width="11.5703125" customWidth="1"/>
    <col min="8465" max="8465" width="13.28515625" customWidth="1"/>
    <col min="8475" max="8475" width="21.7109375" customWidth="1"/>
    <col min="8707" max="8707" width="13.42578125" customWidth="1"/>
    <col min="8712" max="8712" width="12.42578125" customWidth="1"/>
    <col min="8713" max="8713" width="11.140625" customWidth="1"/>
    <col min="8715" max="8715" width="11.5703125" customWidth="1"/>
    <col min="8721" max="8721" width="13.28515625" customWidth="1"/>
    <col min="8731" max="8731" width="21.7109375" customWidth="1"/>
    <col min="8963" max="8963" width="13.42578125" customWidth="1"/>
    <col min="8968" max="8968" width="12.42578125" customWidth="1"/>
    <col min="8969" max="8969" width="11.140625" customWidth="1"/>
    <col min="8971" max="8971" width="11.5703125" customWidth="1"/>
    <col min="8977" max="8977" width="13.28515625" customWidth="1"/>
    <col min="8987" max="8987" width="21.7109375" customWidth="1"/>
    <col min="9219" max="9219" width="13.42578125" customWidth="1"/>
    <col min="9224" max="9224" width="12.42578125" customWidth="1"/>
    <col min="9225" max="9225" width="11.140625" customWidth="1"/>
    <col min="9227" max="9227" width="11.5703125" customWidth="1"/>
    <col min="9233" max="9233" width="13.28515625" customWidth="1"/>
    <col min="9243" max="9243" width="21.7109375" customWidth="1"/>
    <col min="9475" max="9475" width="13.42578125" customWidth="1"/>
    <col min="9480" max="9480" width="12.42578125" customWidth="1"/>
    <col min="9481" max="9481" width="11.140625" customWidth="1"/>
    <col min="9483" max="9483" width="11.5703125" customWidth="1"/>
    <col min="9489" max="9489" width="13.28515625" customWidth="1"/>
    <col min="9499" max="9499" width="21.7109375" customWidth="1"/>
    <col min="9731" max="9731" width="13.42578125" customWidth="1"/>
    <col min="9736" max="9736" width="12.42578125" customWidth="1"/>
    <col min="9737" max="9737" width="11.140625" customWidth="1"/>
    <col min="9739" max="9739" width="11.5703125" customWidth="1"/>
    <col min="9745" max="9745" width="13.28515625" customWidth="1"/>
    <col min="9755" max="9755" width="21.7109375" customWidth="1"/>
    <col min="9987" max="9987" width="13.42578125" customWidth="1"/>
    <col min="9992" max="9992" width="12.42578125" customWidth="1"/>
    <col min="9993" max="9993" width="11.140625" customWidth="1"/>
    <col min="9995" max="9995" width="11.5703125" customWidth="1"/>
    <col min="10001" max="10001" width="13.28515625" customWidth="1"/>
    <col min="10011" max="10011" width="21.7109375" customWidth="1"/>
    <col min="10243" max="10243" width="13.42578125" customWidth="1"/>
    <col min="10248" max="10248" width="12.42578125" customWidth="1"/>
    <col min="10249" max="10249" width="11.140625" customWidth="1"/>
    <col min="10251" max="10251" width="11.5703125" customWidth="1"/>
    <col min="10257" max="10257" width="13.28515625" customWidth="1"/>
    <col min="10267" max="10267" width="21.7109375" customWidth="1"/>
    <col min="10499" max="10499" width="13.42578125" customWidth="1"/>
    <col min="10504" max="10504" width="12.42578125" customWidth="1"/>
    <col min="10505" max="10505" width="11.140625" customWidth="1"/>
    <col min="10507" max="10507" width="11.5703125" customWidth="1"/>
    <col min="10513" max="10513" width="13.28515625" customWidth="1"/>
    <col min="10523" max="10523" width="21.7109375" customWidth="1"/>
    <col min="10755" max="10755" width="13.42578125" customWidth="1"/>
    <col min="10760" max="10760" width="12.42578125" customWidth="1"/>
    <col min="10761" max="10761" width="11.140625" customWidth="1"/>
    <col min="10763" max="10763" width="11.5703125" customWidth="1"/>
    <col min="10769" max="10769" width="13.28515625" customWidth="1"/>
    <col min="10779" max="10779" width="21.7109375" customWidth="1"/>
    <col min="11011" max="11011" width="13.42578125" customWidth="1"/>
    <col min="11016" max="11016" width="12.42578125" customWidth="1"/>
    <col min="11017" max="11017" width="11.140625" customWidth="1"/>
    <col min="11019" max="11019" width="11.5703125" customWidth="1"/>
    <col min="11025" max="11025" width="13.28515625" customWidth="1"/>
    <col min="11035" max="11035" width="21.7109375" customWidth="1"/>
    <col min="11267" max="11267" width="13.42578125" customWidth="1"/>
    <col min="11272" max="11272" width="12.42578125" customWidth="1"/>
    <col min="11273" max="11273" width="11.140625" customWidth="1"/>
    <col min="11275" max="11275" width="11.5703125" customWidth="1"/>
    <col min="11281" max="11281" width="13.28515625" customWidth="1"/>
    <col min="11291" max="11291" width="21.7109375" customWidth="1"/>
    <col min="11523" max="11523" width="13.42578125" customWidth="1"/>
    <col min="11528" max="11528" width="12.42578125" customWidth="1"/>
    <col min="11529" max="11529" width="11.140625" customWidth="1"/>
    <col min="11531" max="11531" width="11.5703125" customWidth="1"/>
    <col min="11537" max="11537" width="13.28515625" customWidth="1"/>
    <col min="11547" max="11547" width="21.7109375" customWidth="1"/>
    <col min="11779" max="11779" width="13.42578125" customWidth="1"/>
    <col min="11784" max="11784" width="12.42578125" customWidth="1"/>
    <col min="11785" max="11785" width="11.140625" customWidth="1"/>
    <col min="11787" max="11787" width="11.5703125" customWidth="1"/>
    <col min="11793" max="11793" width="13.28515625" customWidth="1"/>
    <col min="11803" max="11803" width="21.7109375" customWidth="1"/>
    <col min="12035" max="12035" width="13.42578125" customWidth="1"/>
    <col min="12040" max="12040" width="12.42578125" customWidth="1"/>
    <col min="12041" max="12041" width="11.140625" customWidth="1"/>
    <col min="12043" max="12043" width="11.5703125" customWidth="1"/>
    <col min="12049" max="12049" width="13.28515625" customWidth="1"/>
    <col min="12059" max="12059" width="21.7109375" customWidth="1"/>
    <col min="12291" max="12291" width="13.42578125" customWidth="1"/>
    <col min="12296" max="12296" width="12.42578125" customWidth="1"/>
    <col min="12297" max="12297" width="11.140625" customWidth="1"/>
    <col min="12299" max="12299" width="11.5703125" customWidth="1"/>
    <col min="12305" max="12305" width="13.28515625" customWidth="1"/>
    <col min="12315" max="12315" width="21.7109375" customWidth="1"/>
    <col min="12547" max="12547" width="13.42578125" customWidth="1"/>
    <col min="12552" max="12552" width="12.42578125" customWidth="1"/>
    <col min="12553" max="12553" width="11.140625" customWidth="1"/>
    <col min="12555" max="12555" width="11.5703125" customWidth="1"/>
    <col min="12561" max="12561" width="13.28515625" customWidth="1"/>
    <col min="12571" max="12571" width="21.7109375" customWidth="1"/>
    <col min="12803" max="12803" width="13.42578125" customWidth="1"/>
    <col min="12808" max="12808" width="12.42578125" customWidth="1"/>
    <col min="12809" max="12809" width="11.140625" customWidth="1"/>
    <col min="12811" max="12811" width="11.5703125" customWidth="1"/>
    <col min="12817" max="12817" width="13.28515625" customWidth="1"/>
    <col min="12827" max="12827" width="21.7109375" customWidth="1"/>
    <col min="13059" max="13059" width="13.42578125" customWidth="1"/>
    <col min="13064" max="13064" width="12.42578125" customWidth="1"/>
    <col min="13065" max="13065" width="11.140625" customWidth="1"/>
    <col min="13067" max="13067" width="11.5703125" customWidth="1"/>
    <col min="13073" max="13073" width="13.28515625" customWidth="1"/>
    <col min="13083" max="13083" width="21.7109375" customWidth="1"/>
    <col min="13315" max="13315" width="13.42578125" customWidth="1"/>
    <col min="13320" max="13320" width="12.42578125" customWidth="1"/>
    <col min="13321" max="13321" width="11.140625" customWidth="1"/>
    <col min="13323" max="13323" width="11.5703125" customWidth="1"/>
    <col min="13329" max="13329" width="13.28515625" customWidth="1"/>
    <col min="13339" max="13339" width="21.7109375" customWidth="1"/>
    <col min="13571" max="13571" width="13.42578125" customWidth="1"/>
    <col min="13576" max="13576" width="12.42578125" customWidth="1"/>
    <col min="13577" max="13577" width="11.140625" customWidth="1"/>
    <col min="13579" max="13579" width="11.5703125" customWidth="1"/>
    <col min="13585" max="13585" width="13.28515625" customWidth="1"/>
    <col min="13595" max="13595" width="21.7109375" customWidth="1"/>
    <col min="13827" max="13827" width="13.42578125" customWidth="1"/>
    <col min="13832" max="13832" width="12.42578125" customWidth="1"/>
    <col min="13833" max="13833" width="11.140625" customWidth="1"/>
    <col min="13835" max="13835" width="11.5703125" customWidth="1"/>
    <col min="13841" max="13841" width="13.28515625" customWidth="1"/>
    <col min="13851" max="13851" width="21.7109375" customWidth="1"/>
    <col min="14083" max="14083" width="13.42578125" customWidth="1"/>
    <col min="14088" max="14088" width="12.42578125" customWidth="1"/>
    <col min="14089" max="14089" width="11.140625" customWidth="1"/>
    <col min="14091" max="14091" width="11.5703125" customWidth="1"/>
    <col min="14097" max="14097" width="13.28515625" customWidth="1"/>
    <col min="14107" max="14107" width="21.7109375" customWidth="1"/>
    <col min="14339" max="14339" width="13.42578125" customWidth="1"/>
    <col min="14344" max="14344" width="12.42578125" customWidth="1"/>
    <col min="14345" max="14345" width="11.140625" customWidth="1"/>
    <col min="14347" max="14347" width="11.5703125" customWidth="1"/>
    <col min="14353" max="14353" width="13.28515625" customWidth="1"/>
    <col min="14363" max="14363" width="21.7109375" customWidth="1"/>
    <col min="14595" max="14595" width="13.42578125" customWidth="1"/>
    <col min="14600" max="14600" width="12.42578125" customWidth="1"/>
    <col min="14601" max="14601" width="11.140625" customWidth="1"/>
    <col min="14603" max="14603" width="11.5703125" customWidth="1"/>
    <col min="14609" max="14609" width="13.28515625" customWidth="1"/>
    <col min="14619" max="14619" width="21.7109375" customWidth="1"/>
    <col min="14851" max="14851" width="13.42578125" customWidth="1"/>
    <col min="14856" max="14856" width="12.42578125" customWidth="1"/>
    <col min="14857" max="14857" width="11.140625" customWidth="1"/>
    <col min="14859" max="14859" width="11.5703125" customWidth="1"/>
    <col min="14865" max="14865" width="13.28515625" customWidth="1"/>
    <col min="14875" max="14875" width="21.7109375" customWidth="1"/>
    <col min="15107" max="15107" width="13.42578125" customWidth="1"/>
    <col min="15112" max="15112" width="12.42578125" customWidth="1"/>
    <col min="15113" max="15113" width="11.140625" customWidth="1"/>
    <col min="15115" max="15115" width="11.5703125" customWidth="1"/>
    <col min="15121" max="15121" width="13.28515625" customWidth="1"/>
    <col min="15131" max="15131" width="21.7109375" customWidth="1"/>
    <col min="15363" max="15363" width="13.42578125" customWidth="1"/>
    <col min="15368" max="15368" width="12.42578125" customWidth="1"/>
    <col min="15369" max="15369" width="11.140625" customWidth="1"/>
    <col min="15371" max="15371" width="11.5703125" customWidth="1"/>
    <col min="15377" max="15377" width="13.28515625" customWidth="1"/>
    <col min="15387" max="15387" width="21.7109375" customWidth="1"/>
    <col min="15619" max="15619" width="13.42578125" customWidth="1"/>
    <col min="15624" max="15624" width="12.42578125" customWidth="1"/>
    <col min="15625" max="15625" width="11.140625" customWidth="1"/>
    <col min="15627" max="15627" width="11.5703125" customWidth="1"/>
    <col min="15633" max="15633" width="13.28515625" customWidth="1"/>
    <col min="15643" max="15643" width="21.7109375" customWidth="1"/>
    <col min="15875" max="15875" width="13.42578125" customWidth="1"/>
    <col min="15880" max="15880" width="12.42578125" customWidth="1"/>
    <col min="15881" max="15881" width="11.140625" customWidth="1"/>
    <col min="15883" max="15883" width="11.5703125" customWidth="1"/>
    <col min="15889" max="15889" width="13.28515625" customWidth="1"/>
    <col min="15899" max="15899" width="21.7109375" customWidth="1"/>
    <col min="16131" max="16131" width="13.42578125" customWidth="1"/>
    <col min="16136" max="16136" width="12.42578125" customWidth="1"/>
    <col min="16137" max="16137" width="11.140625" customWidth="1"/>
    <col min="16139" max="16139" width="11.5703125" customWidth="1"/>
    <col min="16145" max="16145" width="13.28515625" customWidth="1"/>
    <col min="16155" max="16155" width="21.7109375" customWidth="1"/>
  </cols>
  <sheetData>
    <row r="1" spans="2:28" x14ac:dyDescent="0.25">
      <c r="B1" s="28" t="s">
        <v>56</v>
      </c>
      <c r="C1" s="28" t="s">
        <v>282</v>
      </c>
      <c r="D1" s="28" t="s">
        <v>57</v>
      </c>
      <c r="E1" s="29" t="s">
        <v>58</v>
      </c>
      <c r="F1" s="30" t="s">
        <v>59</v>
      </c>
      <c r="G1" s="28" t="s">
        <v>203</v>
      </c>
      <c r="H1" s="28" t="s">
        <v>47</v>
      </c>
      <c r="I1" s="28" t="s">
        <v>204</v>
      </c>
      <c r="J1" s="31" t="s">
        <v>61</v>
      </c>
      <c r="K1" s="29" t="s">
        <v>62</v>
      </c>
      <c r="L1" s="28" t="s">
        <v>63</v>
      </c>
      <c r="M1" s="28" t="s">
        <v>64</v>
      </c>
      <c r="N1" s="29" t="s">
        <v>65</v>
      </c>
      <c r="O1" s="29" t="s">
        <v>66</v>
      </c>
      <c r="P1" s="28" t="s">
        <v>67</v>
      </c>
      <c r="Q1" s="28" t="s">
        <v>68</v>
      </c>
      <c r="R1" s="28" t="s">
        <v>69</v>
      </c>
      <c r="S1" s="28" t="s">
        <v>70</v>
      </c>
      <c r="T1" s="28" t="s">
        <v>71</v>
      </c>
      <c r="U1" s="28" t="s">
        <v>72</v>
      </c>
      <c r="V1" s="28" t="s">
        <v>73</v>
      </c>
      <c r="W1" s="28" t="s">
        <v>74</v>
      </c>
      <c r="X1" s="29" t="s">
        <v>75</v>
      </c>
      <c r="Y1" s="29" t="s">
        <v>76</v>
      </c>
      <c r="Z1" s="31" t="s">
        <v>77</v>
      </c>
      <c r="AA1" s="32" t="s">
        <v>78</v>
      </c>
      <c r="AB1" s="32" t="s">
        <v>79</v>
      </c>
    </row>
    <row r="2" spans="2:28" s="33" customFormat="1" x14ac:dyDescent="0.25">
      <c r="B2" s="11" t="s">
        <v>80</v>
      </c>
      <c r="C2" s="11" t="s">
        <v>390</v>
      </c>
      <c r="D2" s="11" t="s">
        <v>207</v>
      </c>
      <c r="E2" s="12">
        <v>3</v>
      </c>
      <c r="F2" s="23">
        <v>4040000</v>
      </c>
      <c r="G2" s="11">
        <v>4.5</v>
      </c>
      <c r="H2" s="23">
        <f>F2*G2</f>
        <v>18180000</v>
      </c>
      <c r="I2" s="23">
        <f>AVERAGE(H2:H4)</f>
        <v>17640000</v>
      </c>
      <c r="J2" s="24">
        <v>202</v>
      </c>
      <c r="K2" s="12">
        <v>1.3947061637850156</v>
      </c>
      <c r="L2" s="11" t="s">
        <v>83</v>
      </c>
      <c r="M2" s="11" t="s">
        <v>84</v>
      </c>
      <c r="N2" s="12">
        <v>0.1</v>
      </c>
      <c r="O2" s="12">
        <v>2</v>
      </c>
      <c r="P2" s="11" t="s">
        <v>85</v>
      </c>
      <c r="Q2" s="11" t="s">
        <v>86</v>
      </c>
      <c r="R2" s="11" t="s">
        <v>391</v>
      </c>
      <c r="S2" s="11" t="s">
        <v>88</v>
      </c>
      <c r="T2" s="11" t="s">
        <v>89</v>
      </c>
      <c r="U2" s="11" t="s">
        <v>90</v>
      </c>
      <c r="V2" s="11" t="s">
        <v>83</v>
      </c>
      <c r="W2" s="11" t="s">
        <v>82</v>
      </c>
      <c r="X2" s="12">
        <v>1</v>
      </c>
      <c r="Y2" s="12">
        <v>0</v>
      </c>
      <c r="Z2" s="24">
        <v>20</v>
      </c>
      <c r="AA2" s="33" t="s">
        <v>392</v>
      </c>
      <c r="AB2" s="33" t="s">
        <v>92</v>
      </c>
    </row>
    <row r="3" spans="2:28" x14ac:dyDescent="0.25">
      <c r="B3" s="11" t="s">
        <v>103</v>
      </c>
      <c r="C3" s="11" t="s">
        <v>393</v>
      </c>
      <c r="D3" s="11" t="s">
        <v>212</v>
      </c>
      <c r="E3" s="12">
        <v>3</v>
      </c>
      <c r="F3" s="23">
        <v>4040000</v>
      </c>
      <c r="G3" s="11">
        <v>4.5</v>
      </c>
      <c r="H3" s="23">
        <f t="shared" ref="H3:H28" si="0">F3*G3</f>
        <v>18180000</v>
      </c>
      <c r="J3" s="24">
        <v>202</v>
      </c>
      <c r="K3" s="12">
        <v>1.3709230733865376</v>
      </c>
      <c r="L3" s="11" t="s">
        <v>83</v>
      </c>
      <c r="M3" s="11" t="s">
        <v>84</v>
      </c>
      <c r="N3" s="12">
        <v>0.1</v>
      </c>
      <c r="O3" s="12">
        <v>2</v>
      </c>
      <c r="P3" s="11" t="s">
        <v>85</v>
      </c>
      <c r="Q3" s="11" t="s">
        <v>86</v>
      </c>
      <c r="R3" s="11" t="s">
        <v>391</v>
      </c>
      <c r="S3" s="11" t="s">
        <v>88</v>
      </c>
      <c r="T3" s="11" t="s">
        <v>89</v>
      </c>
      <c r="U3" s="11" t="s">
        <v>90</v>
      </c>
      <c r="V3" s="11" t="s">
        <v>83</v>
      </c>
      <c r="W3" s="11" t="s">
        <v>82</v>
      </c>
      <c r="X3" s="12">
        <v>1</v>
      </c>
      <c r="Y3" s="12">
        <v>0</v>
      </c>
      <c r="Z3" s="24">
        <v>20</v>
      </c>
      <c r="AA3" t="s">
        <v>394</v>
      </c>
      <c r="AB3" t="s">
        <v>92</v>
      </c>
    </row>
    <row r="4" spans="2:28" x14ac:dyDescent="0.25">
      <c r="B4" s="11" t="s">
        <v>114</v>
      </c>
      <c r="C4" s="11" t="s">
        <v>395</v>
      </c>
      <c r="D4" s="11" t="s">
        <v>215</v>
      </c>
      <c r="E4" s="12">
        <v>3</v>
      </c>
      <c r="F4" s="23">
        <v>3680000</v>
      </c>
      <c r="G4" s="11">
        <v>4.5</v>
      </c>
      <c r="H4" s="23">
        <f t="shared" si="0"/>
        <v>16560000</v>
      </c>
      <c r="J4" s="24">
        <v>184</v>
      </c>
      <c r="K4" s="12">
        <v>1.4432473640636163</v>
      </c>
      <c r="L4" s="11" t="s">
        <v>83</v>
      </c>
      <c r="M4" s="11" t="s">
        <v>84</v>
      </c>
      <c r="N4" s="12">
        <v>0.1</v>
      </c>
      <c r="O4" s="12">
        <v>2</v>
      </c>
      <c r="P4" s="11" t="s">
        <v>85</v>
      </c>
      <c r="Q4" s="11" t="s">
        <v>86</v>
      </c>
      <c r="R4" s="11" t="s">
        <v>391</v>
      </c>
      <c r="S4" s="11" t="s">
        <v>88</v>
      </c>
      <c r="T4" s="11" t="s">
        <v>89</v>
      </c>
      <c r="U4" s="11" t="s">
        <v>90</v>
      </c>
      <c r="V4" s="11" t="s">
        <v>83</v>
      </c>
      <c r="W4" s="11" t="s">
        <v>82</v>
      </c>
      <c r="X4" s="12">
        <v>1</v>
      </c>
      <c r="Y4" s="12">
        <v>0</v>
      </c>
      <c r="Z4" s="24">
        <v>20</v>
      </c>
      <c r="AA4" t="s">
        <v>396</v>
      </c>
      <c r="AB4" t="s">
        <v>92</v>
      </c>
    </row>
    <row r="5" spans="2:28" x14ac:dyDescent="0.25">
      <c r="B5" s="11" t="s">
        <v>125</v>
      </c>
      <c r="C5" s="11" t="s">
        <v>397</v>
      </c>
      <c r="D5" s="11" t="s">
        <v>218</v>
      </c>
      <c r="E5" s="12">
        <v>2</v>
      </c>
      <c r="F5" s="23">
        <v>4580000</v>
      </c>
      <c r="G5" s="11">
        <v>3.1</v>
      </c>
      <c r="H5" s="23">
        <f t="shared" si="0"/>
        <v>14198000</v>
      </c>
      <c r="I5" s="23">
        <f>AVERAGE(H5:H7)</f>
        <v>15376000</v>
      </c>
      <c r="J5" s="24">
        <v>184</v>
      </c>
      <c r="K5" s="12">
        <v>0.67786170844605864</v>
      </c>
      <c r="L5" s="11" t="s">
        <v>83</v>
      </c>
      <c r="M5" s="11" t="s">
        <v>84</v>
      </c>
      <c r="N5" s="12">
        <v>0.1</v>
      </c>
      <c r="O5" s="12">
        <v>2</v>
      </c>
      <c r="P5" s="11" t="s">
        <v>85</v>
      </c>
      <c r="Q5" s="11" t="s">
        <v>86</v>
      </c>
      <c r="R5" s="11" t="s">
        <v>391</v>
      </c>
      <c r="S5" s="11" t="s">
        <v>88</v>
      </c>
      <c r="T5" s="11" t="s">
        <v>89</v>
      </c>
      <c r="U5" s="11" t="s">
        <v>90</v>
      </c>
      <c r="V5" s="11" t="s">
        <v>83</v>
      </c>
      <c r="W5" s="11" t="s">
        <v>82</v>
      </c>
      <c r="X5" s="12">
        <v>1</v>
      </c>
      <c r="Y5" s="12">
        <v>0</v>
      </c>
      <c r="Z5" s="24">
        <v>20</v>
      </c>
      <c r="AA5" t="s">
        <v>398</v>
      </c>
      <c r="AB5" t="s">
        <v>92</v>
      </c>
    </row>
    <row r="6" spans="2:28" x14ac:dyDescent="0.25">
      <c r="B6" s="11" t="s">
        <v>136</v>
      </c>
      <c r="C6" s="11" t="s">
        <v>399</v>
      </c>
      <c r="D6" s="11" t="s">
        <v>221</v>
      </c>
      <c r="E6" s="12">
        <v>2</v>
      </c>
      <c r="F6" s="23">
        <v>5550000</v>
      </c>
      <c r="G6" s="11">
        <v>3.1</v>
      </c>
      <c r="H6" s="23">
        <f t="shared" si="0"/>
        <v>17205000</v>
      </c>
      <c r="J6" s="24">
        <v>223</v>
      </c>
      <c r="K6" s="12">
        <v>0.7374171538501112</v>
      </c>
      <c r="L6" s="11" t="s">
        <v>83</v>
      </c>
      <c r="M6" s="11" t="s">
        <v>84</v>
      </c>
      <c r="N6" s="12">
        <v>0.1</v>
      </c>
      <c r="O6" s="12">
        <v>2</v>
      </c>
      <c r="P6" s="11" t="s">
        <v>85</v>
      </c>
      <c r="Q6" s="11" t="s">
        <v>86</v>
      </c>
      <c r="R6" s="11" t="s">
        <v>391</v>
      </c>
      <c r="S6" s="11" t="s">
        <v>88</v>
      </c>
      <c r="T6" s="11" t="s">
        <v>89</v>
      </c>
      <c r="U6" s="11" t="s">
        <v>90</v>
      </c>
      <c r="V6" s="11" t="s">
        <v>83</v>
      </c>
      <c r="W6" s="11" t="s">
        <v>82</v>
      </c>
      <c r="X6" s="12">
        <v>1</v>
      </c>
      <c r="Y6" s="12">
        <v>0</v>
      </c>
      <c r="Z6" s="24">
        <v>20</v>
      </c>
      <c r="AA6" t="s">
        <v>400</v>
      </c>
      <c r="AB6" t="s">
        <v>92</v>
      </c>
    </row>
    <row r="7" spans="2:28" x14ac:dyDescent="0.25">
      <c r="B7" s="11" t="s">
        <v>147</v>
      </c>
      <c r="C7" s="11" t="s">
        <v>401</v>
      </c>
      <c r="D7" s="11" t="s">
        <v>224</v>
      </c>
      <c r="E7" s="12">
        <v>2</v>
      </c>
      <c r="F7" s="23">
        <v>4750000</v>
      </c>
      <c r="G7" s="11">
        <v>3.1</v>
      </c>
      <c r="H7" s="23">
        <f t="shared" si="0"/>
        <v>14725000</v>
      </c>
      <c r="J7" s="24">
        <v>191</v>
      </c>
      <c r="K7" s="12">
        <v>0.65941459977333261</v>
      </c>
      <c r="L7" s="11" t="s">
        <v>83</v>
      </c>
      <c r="M7" s="11" t="s">
        <v>84</v>
      </c>
      <c r="N7" s="12">
        <v>0.1</v>
      </c>
      <c r="O7" s="12">
        <v>2</v>
      </c>
      <c r="P7" s="11" t="s">
        <v>85</v>
      </c>
      <c r="Q7" s="11" t="s">
        <v>86</v>
      </c>
      <c r="R7" s="11" t="s">
        <v>391</v>
      </c>
      <c r="S7" s="11" t="s">
        <v>88</v>
      </c>
      <c r="T7" s="11" t="s">
        <v>89</v>
      </c>
      <c r="U7" s="11" t="s">
        <v>90</v>
      </c>
      <c r="V7" s="11" t="s">
        <v>83</v>
      </c>
      <c r="W7" s="11" t="s">
        <v>82</v>
      </c>
      <c r="X7" s="12">
        <v>1</v>
      </c>
      <c r="Y7" s="12">
        <v>0</v>
      </c>
      <c r="Z7" s="24">
        <v>20</v>
      </c>
      <c r="AA7" t="s">
        <v>402</v>
      </c>
      <c r="AB7" t="s">
        <v>92</v>
      </c>
    </row>
    <row r="8" spans="2:28" x14ac:dyDescent="0.25">
      <c r="B8" s="11" t="s">
        <v>158</v>
      </c>
      <c r="C8" s="11" t="s">
        <v>403</v>
      </c>
      <c r="D8" s="11" t="s">
        <v>227</v>
      </c>
      <c r="E8" s="12">
        <v>2</v>
      </c>
      <c r="F8" s="23">
        <v>3800000</v>
      </c>
      <c r="G8" s="11">
        <v>3.5</v>
      </c>
      <c r="H8" s="23">
        <f t="shared" si="0"/>
        <v>13300000</v>
      </c>
      <c r="I8" s="23">
        <f>AVERAGE(H8:H10)</f>
        <v>14151666.666666666</v>
      </c>
      <c r="J8" s="24">
        <v>153</v>
      </c>
      <c r="K8" s="12">
        <v>0.68095984028378986</v>
      </c>
      <c r="L8" s="11" t="s">
        <v>83</v>
      </c>
      <c r="M8" s="11" t="s">
        <v>84</v>
      </c>
      <c r="N8" s="12">
        <v>0.1</v>
      </c>
      <c r="O8" s="12">
        <v>2</v>
      </c>
      <c r="P8" s="11" t="s">
        <v>85</v>
      </c>
      <c r="Q8" s="11" t="s">
        <v>86</v>
      </c>
      <c r="R8" s="11" t="s">
        <v>391</v>
      </c>
      <c r="S8" s="11" t="s">
        <v>88</v>
      </c>
      <c r="T8" s="11" t="s">
        <v>89</v>
      </c>
      <c r="U8" s="11" t="s">
        <v>90</v>
      </c>
      <c r="V8" s="11" t="s">
        <v>83</v>
      </c>
      <c r="W8" s="11" t="s">
        <v>82</v>
      </c>
      <c r="X8" s="12">
        <v>1</v>
      </c>
      <c r="Y8" s="12">
        <v>0</v>
      </c>
      <c r="Z8" s="24">
        <v>20</v>
      </c>
      <c r="AA8" t="s">
        <v>404</v>
      </c>
      <c r="AB8" t="s">
        <v>92</v>
      </c>
    </row>
    <row r="9" spans="2:28" x14ac:dyDescent="0.25">
      <c r="B9" s="11" t="s">
        <v>169</v>
      </c>
      <c r="C9" s="11" t="s">
        <v>405</v>
      </c>
      <c r="D9" s="11" t="s">
        <v>230</v>
      </c>
      <c r="E9" s="12">
        <v>2</v>
      </c>
      <c r="F9" s="23">
        <v>4400000</v>
      </c>
      <c r="G9" s="11">
        <v>3.5</v>
      </c>
      <c r="H9" s="23">
        <f t="shared" si="0"/>
        <v>15400000</v>
      </c>
      <c r="J9" s="24">
        <v>177</v>
      </c>
      <c r="K9" s="12">
        <v>0.67569685033251847</v>
      </c>
      <c r="L9" s="11" t="s">
        <v>83</v>
      </c>
      <c r="M9" s="11" t="s">
        <v>84</v>
      </c>
      <c r="N9" s="12">
        <v>0.1</v>
      </c>
      <c r="O9" s="12">
        <v>2</v>
      </c>
      <c r="P9" s="11" t="s">
        <v>85</v>
      </c>
      <c r="Q9" s="11" t="s">
        <v>86</v>
      </c>
      <c r="R9" s="11" t="s">
        <v>391</v>
      </c>
      <c r="S9" s="11" t="s">
        <v>88</v>
      </c>
      <c r="T9" s="11" t="s">
        <v>89</v>
      </c>
      <c r="U9" s="11" t="s">
        <v>90</v>
      </c>
      <c r="V9" s="11" t="s">
        <v>83</v>
      </c>
      <c r="W9" s="11" t="s">
        <v>82</v>
      </c>
      <c r="X9" s="12">
        <v>1</v>
      </c>
      <c r="Y9" s="12">
        <v>0</v>
      </c>
      <c r="Z9" s="24">
        <v>20</v>
      </c>
      <c r="AA9" t="s">
        <v>406</v>
      </c>
      <c r="AB9" t="s">
        <v>92</v>
      </c>
    </row>
    <row r="10" spans="2:28" x14ac:dyDescent="0.25">
      <c r="B10" s="11" t="s">
        <v>180</v>
      </c>
      <c r="C10" s="11" t="s">
        <v>407</v>
      </c>
      <c r="D10" s="11" t="s">
        <v>233</v>
      </c>
      <c r="E10" s="12">
        <v>2</v>
      </c>
      <c r="F10" s="23">
        <v>3930000</v>
      </c>
      <c r="G10" s="11">
        <v>3.5</v>
      </c>
      <c r="H10" s="23">
        <f t="shared" si="0"/>
        <v>13755000</v>
      </c>
      <c r="J10" s="24">
        <v>158</v>
      </c>
      <c r="K10" s="12">
        <v>0.65742570803593281</v>
      </c>
      <c r="L10" s="11" t="s">
        <v>83</v>
      </c>
      <c r="M10" s="11" t="s">
        <v>84</v>
      </c>
      <c r="N10" s="12">
        <v>0.1</v>
      </c>
      <c r="O10" s="12">
        <v>2</v>
      </c>
      <c r="P10" s="11" t="s">
        <v>85</v>
      </c>
      <c r="Q10" s="11" t="s">
        <v>86</v>
      </c>
      <c r="R10" s="11" t="s">
        <v>391</v>
      </c>
      <c r="S10" s="11" t="s">
        <v>88</v>
      </c>
      <c r="T10" s="11" t="s">
        <v>89</v>
      </c>
      <c r="U10" s="11" t="s">
        <v>90</v>
      </c>
      <c r="V10" s="11" t="s">
        <v>83</v>
      </c>
      <c r="W10" s="11" t="s">
        <v>82</v>
      </c>
      <c r="X10" s="12">
        <v>1</v>
      </c>
      <c r="Y10" s="12">
        <v>0</v>
      </c>
      <c r="Z10" s="24">
        <v>20</v>
      </c>
      <c r="AA10" t="s">
        <v>408</v>
      </c>
      <c r="AB10" t="s">
        <v>92</v>
      </c>
    </row>
    <row r="11" spans="2:28" x14ac:dyDescent="0.25">
      <c r="B11" s="11" t="s">
        <v>191</v>
      </c>
      <c r="C11" s="11" t="s">
        <v>409</v>
      </c>
      <c r="D11" s="11" t="s">
        <v>236</v>
      </c>
      <c r="E11" s="12">
        <v>2</v>
      </c>
      <c r="F11" s="23">
        <v>3330000</v>
      </c>
      <c r="G11" s="11">
        <v>3.5</v>
      </c>
      <c r="H11" s="23">
        <f t="shared" si="0"/>
        <v>11655000</v>
      </c>
      <c r="I11" s="23">
        <f>AVERAGE(H11:H13)</f>
        <v>11130000</v>
      </c>
      <c r="J11" s="24">
        <v>134</v>
      </c>
      <c r="K11" s="12">
        <v>0.60494738886475141</v>
      </c>
      <c r="L11" s="11" t="s">
        <v>83</v>
      </c>
      <c r="M11" s="11" t="s">
        <v>84</v>
      </c>
      <c r="N11" s="12">
        <v>0.1</v>
      </c>
      <c r="O11" s="12">
        <v>2</v>
      </c>
      <c r="P11" s="11" t="s">
        <v>85</v>
      </c>
      <c r="Q11" s="11" t="s">
        <v>86</v>
      </c>
      <c r="R11" s="11" t="s">
        <v>391</v>
      </c>
      <c r="S11" s="11" t="s">
        <v>88</v>
      </c>
      <c r="T11" s="11" t="s">
        <v>89</v>
      </c>
      <c r="U11" s="11" t="s">
        <v>90</v>
      </c>
      <c r="V11" s="11" t="s">
        <v>83</v>
      </c>
      <c r="W11" s="11" t="s">
        <v>82</v>
      </c>
      <c r="X11" s="12">
        <v>1</v>
      </c>
      <c r="Y11" s="12">
        <v>0</v>
      </c>
      <c r="Z11" s="24">
        <v>20</v>
      </c>
      <c r="AA11" t="s">
        <v>410</v>
      </c>
      <c r="AB11" t="s">
        <v>92</v>
      </c>
    </row>
    <row r="12" spans="2:28" x14ac:dyDescent="0.25">
      <c r="B12" s="11" t="s">
        <v>238</v>
      </c>
      <c r="C12" s="11" t="s">
        <v>411</v>
      </c>
      <c r="D12" s="11" t="s">
        <v>240</v>
      </c>
      <c r="E12" s="12">
        <v>2</v>
      </c>
      <c r="F12" s="23">
        <v>2940000</v>
      </c>
      <c r="G12" s="11">
        <v>3.5</v>
      </c>
      <c r="H12" s="23">
        <f t="shared" si="0"/>
        <v>10290000</v>
      </c>
      <c r="J12" s="24">
        <v>207</v>
      </c>
      <c r="K12" s="12">
        <v>0.72357917810073991</v>
      </c>
      <c r="L12" s="11" t="s">
        <v>83</v>
      </c>
      <c r="M12" s="11" t="s">
        <v>84</v>
      </c>
      <c r="N12" s="12">
        <v>0.1</v>
      </c>
      <c r="O12" s="12">
        <v>2</v>
      </c>
      <c r="P12" s="11" t="s">
        <v>85</v>
      </c>
      <c r="Q12" s="11" t="s">
        <v>86</v>
      </c>
      <c r="R12" s="11" t="s">
        <v>391</v>
      </c>
      <c r="S12" s="11" t="s">
        <v>88</v>
      </c>
      <c r="T12" s="11" t="s">
        <v>89</v>
      </c>
      <c r="U12" s="11" t="s">
        <v>90</v>
      </c>
      <c r="V12" s="11" t="s">
        <v>83</v>
      </c>
      <c r="W12" s="11" t="s">
        <v>82</v>
      </c>
      <c r="X12" s="12">
        <v>1</v>
      </c>
      <c r="Y12" s="12">
        <v>0</v>
      </c>
      <c r="Z12" s="24">
        <v>20</v>
      </c>
      <c r="AA12" t="s">
        <v>412</v>
      </c>
      <c r="AB12" t="s">
        <v>92</v>
      </c>
    </row>
    <row r="13" spans="2:28" x14ac:dyDescent="0.25">
      <c r="B13" s="11" t="s">
        <v>242</v>
      </c>
      <c r="C13" s="11" t="s">
        <v>413</v>
      </c>
      <c r="D13" s="11" t="s">
        <v>244</v>
      </c>
      <c r="E13" s="12">
        <v>2</v>
      </c>
      <c r="F13" s="23">
        <v>3270000</v>
      </c>
      <c r="G13" s="11">
        <v>3.5</v>
      </c>
      <c r="H13" s="23">
        <f t="shared" si="0"/>
        <v>11445000</v>
      </c>
      <c r="J13" s="24">
        <v>203</v>
      </c>
      <c r="K13" s="12">
        <v>0.87209159726909757</v>
      </c>
      <c r="L13" s="11" t="s">
        <v>83</v>
      </c>
      <c r="M13" s="11" t="s">
        <v>84</v>
      </c>
      <c r="N13" s="12">
        <v>0.1</v>
      </c>
      <c r="O13" s="12">
        <v>2</v>
      </c>
      <c r="P13" s="11" t="s">
        <v>85</v>
      </c>
      <c r="Q13" s="11" t="s">
        <v>86</v>
      </c>
      <c r="R13" s="11" t="s">
        <v>391</v>
      </c>
      <c r="S13" s="11" t="s">
        <v>88</v>
      </c>
      <c r="T13" s="11" t="s">
        <v>89</v>
      </c>
      <c r="U13" s="11" t="s">
        <v>90</v>
      </c>
      <c r="V13" s="11" t="s">
        <v>83</v>
      </c>
      <c r="W13" s="11" t="s">
        <v>82</v>
      </c>
      <c r="X13" s="12">
        <v>1</v>
      </c>
      <c r="Y13" s="12">
        <v>0</v>
      </c>
      <c r="Z13" s="24">
        <v>20</v>
      </c>
      <c r="AA13" t="s">
        <v>414</v>
      </c>
      <c r="AB13" t="s">
        <v>92</v>
      </c>
    </row>
    <row r="14" spans="2:28" x14ac:dyDescent="0.25">
      <c r="B14" s="11" t="s">
        <v>247</v>
      </c>
      <c r="C14" s="11" t="s">
        <v>415</v>
      </c>
      <c r="D14" s="11" t="s">
        <v>416</v>
      </c>
      <c r="E14" s="12">
        <v>0</v>
      </c>
      <c r="F14" s="23">
        <v>34500</v>
      </c>
      <c r="G14" s="11">
        <v>3.8</v>
      </c>
      <c r="H14" s="23">
        <f t="shared" si="0"/>
        <v>131100</v>
      </c>
      <c r="I14" s="23">
        <f>AVERAGE(H14:H16)</f>
        <v>156306.66666666666</v>
      </c>
      <c r="J14" s="24">
        <v>233</v>
      </c>
      <c r="K14" s="12">
        <v>0.73579824815103245</v>
      </c>
      <c r="L14" s="11" t="s">
        <v>83</v>
      </c>
      <c r="M14" s="11" t="s">
        <v>84</v>
      </c>
      <c r="N14" s="12">
        <v>0.1</v>
      </c>
      <c r="O14" s="12">
        <v>2</v>
      </c>
      <c r="P14" s="11" t="s">
        <v>85</v>
      </c>
      <c r="Q14" s="11" t="s">
        <v>86</v>
      </c>
      <c r="R14" s="11" t="s">
        <v>391</v>
      </c>
      <c r="S14" s="11" t="s">
        <v>88</v>
      </c>
      <c r="T14" s="11" t="s">
        <v>89</v>
      </c>
      <c r="U14" s="11" t="s">
        <v>90</v>
      </c>
      <c r="V14" s="11" t="s">
        <v>83</v>
      </c>
      <c r="W14" s="11" t="s">
        <v>82</v>
      </c>
      <c r="X14" s="12">
        <v>1</v>
      </c>
      <c r="Y14" s="12">
        <v>0</v>
      </c>
      <c r="Z14" s="24">
        <v>20</v>
      </c>
      <c r="AA14" t="s">
        <v>417</v>
      </c>
      <c r="AB14" t="s">
        <v>92</v>
      </c>
    </row>
    <row r="15" spans="2:28" x14ac:dyDescent="0.25">
      <c r="B15" s="11" t="s">
        <v>260</v>
      </c>
      <c r="C15" s="11" t="s">
        <v>418</v>
      </c>
      <c r="D15" s="11" t="s">
        <v>419</v>
      </c>
      <c r="E15" s="12">
        <v>0</v>
      </c>
      <c r="F15" s="23">
        <v>48000</v>
      </c>
      <c r="G15" s="11">
        <v>3.8</v>
      </c>
      <c r="H15" s="23">
        <f t="shared" si="0"/>
        <v>182400</v>
      </c>
      <c r="J15" s="24">
        <v>193</v>
      </c>
      <c r="K15" s="12">
        <v>0.7826881125059888</v>
      </c>
      <c r="L15" s="11" t="s">
        <v>83</v>
      </c>
      <c r="M15" s="11" t="s">
        <v>84</v>
      </c>
      <c r="N15" s="12">
        <v>0.1</v>
      </c>
      <c r="O15" s="12">
        <v>2</v>
      </c>
      <c r="P15" s="11" t="s">
        <v>85</v>
      </c>
      <c r="Q15" s="11" t="s">
        <v>86</v>
      </c>
      <c r="R15" s="11" t="s">
        <v>391</v>
      </c>
      <c r="S15" s="11" t="s">
        <v>88</v>
      </c>
      <c r="T15" s="11" t="s">
        <v>89</v>
      </c>
      <c r="U15" s="11" t="s">
        <v>90</v>
      </c>
      <c r="V15" s="11" t="s">
        <v>83</v>
      </c>
      <c r="W15" s="11" t="s">
        <v>82</v>
      </c>
      <c r="X15" s="12">
        <v>1</v>
      </c>
      <c r="Y15" s="12">
        <v>0</v>
      </c>
      <c r="Z15" s="24">
        <v>20</v>
      </c>
      <c r="AA15" t="s">
        <v>420</v>
      </c>
      <c r="AB15" t="s">
        <v>92</v>
      </c>
    </row>
    <row r="16" spans="2:28" x14ac:dyDescent="0.25">
      <c r="B16" s="11" t="s">
        <v>421</v>
      </c>
      <c r="C16" s="11" t="s">
        <v>422</v>
      </c>
      <c r="D16" s="11" t="s">
        <v>423</v>
      </c>
      <c r="E16" s="12">
        <v>0</v>
      </c>
      <c r="F16" s="23">
        <v>40900</v>
      </c>
      <c r="G16" s="11">
        <v>3.8</v>
      </c>
      <c r="H16" s="23">
        <f t="shared" si="0"/>
        <v>155420</v>
      </c>
      <c r="J16" s="24">
        <v>202</v>
      </c>
      <c r="K16" s="12">
        <v>0.68257277378085934</v>
      </c>
      <c r="L16" s="11" t="s">
        <v>83</v>
      </c>
      <c r="M16" s="11" t="s">
        <v>84</v>
      </c>
      <c r="N16" s="12">
        <v>0.1</v>
      </c>
      <c r="O16" s="12">
        <v>2</v>
      </c>
      <c r="P16" s="11" t="s">
        <v>85</v>
      </c>
      <c r="Q16" s="11" t="s">
        <v>86</v>
      </c>
      <c r="R16" s="11" t="s">
        <v>391</v>
      </c>
      <c r="S16" s="11" t="s">
        <v>88</v>
      </c>
      <c r="T16" s="11" t="s">
        <v>89</v>
      </c>
      <c r="U16" s="11" t="s">
        <v>90</v>
      </c>
      <c r="V16" s="11" t="s">
        <v>83</v>
      </c>
      <c r="W16" s="11" t="s">
        <v>82</v>
      </c>
      <c r="X16" s="12">
        <v>1</v>
      </c>
      <c r="Y16" s="12">
        <v>0</v>
      </c>
      <c r="Z16" s="24">
        <v>20</v>
      </c>
      <c r="AA16" t="s">
        <v>424</v>
      </c>
      <c r="AB16" t="s">
        <v>92</v>
      </c>
    </row>
    <row r="17" spans="2:28" x14ac:dyDescent="0.25">
      <c r="B17" s="11" t="s">
        <v>425</v>
      </c>
      <c r="C17" s="11" t="s">
        <v>426</v>
      </c>
      <c r="D17" s="11" t="s">
        <v>262</v>
      </c>
      <c r="E17" s="12">
        <v>0</v>
      </c>
      <c r="F17" s="23">
        <v>2140</v>
      </c>
      <c r="G17" s="11">
        <v>4.4000000000000004</v>
      </c>
      <c r="H17" s="23">
        <f t="shared" si="0"/>
        <v>9416</v>
      </c>
      <c r="I17" s="23">
        <f>AVERAGE(H17:H19)</f>
        <v>10618.666666666666</v>
      </c>
      <c r="J17" s="24">
        <v>107</v>
      </c>
      <c r="K17" s="12">
        <v>1.5570630206529106</v>
      </c>
      <c r="L17" s="11" t="s">
        <v>83</v>
      </c>
      <c r="M17" s="11" t="s">
        <v>84</v>
      </c>
      <c r="N17" s="12">
        <v>0.1</v>
      </c>
      <c r="O17" s="12">
        <v>2</v>
      </c>
      <c r="P17" s="11" t="s">
        <v>85</v>
      </c>
      <c r="Q17" s="11" t="s">
        <v>86</v>
      </c>
      <c r="R17" s="11" t="s">
        <v>391</v>
      </c>
      <c r="S17" s="11" t="s">
        <v>88</v>
      </c>
      <c r="T17" s="11" t="s">
        <v>89</v>
      </c>
      <c r="U17" s="11" t="s">
        <v>90</v>
      </c>
      <c r="V17" s="11" t="s">
        <v>83</v>
      </c>
      <c r="W17" s="11" t="s">
        <v>82</v>
      </c>
      <c r="X17" s="12">
        <v>1</v>
      </c>
      <c r="Y17" s="12">
        <v>0</v>
      </c>
      <c r="Z17" s="24">
        <v>20</v>
      </c>
      <c r="AA17" t="s">
        <v>427</v>
      </c>
      <c r="AB17" t="s">
        <v>92</v>
      </c>
    </row>
    <row r="18" spans="2:28" x14ac:dyDescent="0.25">
      <c r="B18" s="11" t="s">
        <v>428</v>
      </c>
      <c r="C18" s="11" t="s">
        <v>429</v>
      </c>
      <c r="D18" s="11" t="s">
        <v>266</v>
      </c>
      <c r="E18" s="12">
        <v>0</v>
      </c>
      <c r="F18" s="23">
        <v>2760</v>
      </c>
      <c r="G18" s="11">
        <v>4.4000000000000004</v>
      </c>
      <c r="H18" s="23">
        <f t="shared" si="0"/>
        <v>12144.000000000002</v>
      </c>
      <c r="J18" s="24">
        <v>138</v>
      </c>
      <c r="K18" s="12">
        <v>1.4274619573960241</v>
      </c>
      <c r="L18" s="11" t="s">
        <v>83</v>
      </c>
      <c r="M18" s="11" t="s">
        <v>84</v>
      </c>
      <c r="N18" s="12">
        <v>0.1</v>
      </c>
      <c r="O18" s="12">
        <v>2</v>
      </c>
      <c r="P18" s="11" t="s">
        <v>85</v>
      </c>
      <c r="Q18" s="11" t="s">
        <v>86</v>
      </c>
      <c r="R18" s="11" t="s">
        <v>391</v>
      </c>
      <c r="S18" s="11" t="s">
        <v>88</v>
      </c>
      <c r="T18" s="11" t="s">
        <v>89</v>
      </c>
      <c r="U18" s="11" t="s">
        <v>90</v>
      </c>
      <c r="V18" s="11" t="s">
        <v>83</v>
      </c>
      <c r="W18" s="11" t="s">
        <v>82</v>
      </c>
      <c r="X18" s="12">
        <v>1</v>
      </c>
      <c r="Y18" s="12">
        <v>0</v>
      </c>
      <c r="Z18" s="24">
        <v>20</v>
      </c>
      <c r="AA18" t="s">
        <v>430</v>
      </c>
      <c r="AB18" t="s">
        <v>92</v>
      </c>
    </row>
    <row r="19" spans="2:28" x14ac:dyDescent="0.25">
      <c r="B19" s="11" t="s">
        <v>431</v>
      </c>
      <c r="C19" s="11" t="s">
        <v>432</v>
      </c>
      <c r="D19" s="11" t="s">
        <v>270</v>
      </c>
      <c r="E19" s="12">
        <v>0</v>
      </c>
      <c r="F19" s="23">
        <v>2340</v>
      </c>
      <c r="G19" s="11">
        <v>4.4000000000000004</v>
      </c>
      <c r="H19" s="23">
        <f t="shared" si="0"/>
        <v>10296</v>
      </c>
      <c r="J19" s="24">
        <v>117</v>
      </c>
      <c r="K19" s="12">
        <v>1.3639636151647405</v>
      </c>
      <c r="L19" s="11" t="s">
        <v>83</v>
      </c>
      <c r="M19" s="11" t="s">
        <v>84</v>
      </c>
      <c r="N19" s="12">
        <v>0.1</v>
      </c>
      <c r="O19" s="12">
        <v>2</v>
      </c>
      <c r="P19" s="11" t="s">
        <v>85</v>
      </c>
      <c r="Q19" s="11" t="s">
        <v>86</v>
      </c>
      <c r="R19" s="11" t="s">
        <v>391</v>
      </c>
      <c r="S19" s="11" t="s">
        <v>88</v>
      </c>
      <c r="T19" s="11" t="s">
        <v>89</v>
      </c>
      <c r="U19" s="11" t="s">
        <v>90</v>
      </c>
      <c r="V19" s="11" t="s">
        <v>83</v>
      </c>
      <c r="W19" s="11" t="s">
        <v>82</v>
      </c>
      <c r="X19" s="12">
        <v>1</v>
      </c>
      <c r="Y19" s="12">
        <v>0</v>
      </c>
      <c r="Z19" s="24">
        <v>20</v>
      </c>
      <c r="AA19" t="s">
        <v>433</v>
      </c>
      <c r="AB19" t="s">
        <v>92</v>
      </c>
    </row>
    <row r="20" spans="2:28" x14ac:dyDescent="0.25">
      <c r="B20" s="11" t="s">
        <v>434</v>
      </c>
      <c r="C20" s="11" t="s">
        <v>435</v>
      </c>
      <c r="D20" s="11" t="s">
        <v>436</v>
      </c>
      <c r="E20" s="12">
        <v>0</v>
      </c>
      <c r="F20" s="23">
        <v>9320</v>
      </c>
      <c r="G20" s="11">
        <v>3.6</v>
      </c>
      <c r="H20" s="23">
        <f t="shared" si="0"/>
        <v>33552</v>
      </c>
      <c r="I20" s="23">
        <f>AVERAGE(H20:H22)</f>
        <v>40032</v>
      </c>
      <c r="J20" s="24">
        <v>222</v>
      </c>
      <c r="K20" s="12">
        <v>1.1417199894773395</v>
      </c>
      <c r="L20" s="11" t="s">
        <v>83</v>
      </c>
      <c r="M20" s="11" t="s">
        <v>84</v>
      </c>
      <c r="N20" s="12">
        <v>0.1</v>
      </c>
      <c r="O20" s="12">
        <v>2</v>
      </c>
      <c r="P20" s="11" t="s">
        <v>85</v>
      </c>
      <c r="Q20" s="11" t="s">
        <v>86</v>
      </c>
      <c r="R20" s="11" t="s">
        <v>391</v>
      </c>
      <c r="S20" s="11" t="s">
        <v>88</v>
      </c>
      <c r="T20" s="11" t="s">
        <v>89</v>
      </c>
      <c r="U20" s="11" t="s">
        <v>90</v>
      </c>
      <c r="V20" s="11" t="s">
        <v>83</v>
      </c>
      <c r="W20" s="11" t="s">
        <v>82</v>
      </c>
      <c r="X20" s="12">
        <v>1</v>
      </c>
      <c r="Y20" s="12">
        <v>0</v>
      </c>
      <c r="Z20" s="24">
        <v>20</v>
      </c>
      <c r="AA20" t="s">
        <v>437</v>
      </c>
      <c r="AB20" t="s">
        <v>92</v>
      </c>
    </row>
    <row r="21" spans="2:28" x14ac:dyDescent="0.25">
      <c r="B21" s="11" t="s">
        <v>438</v>
      </c>
      <c r="C21" s="11" t="s">
        <v>439</v>
      </c>
      <c r="D21" s="11" t="s">
        <v>440</v>
      </c>
      <c r="E21" s="12">
        <v>0</v>
      </c>
      <c r="F21" s="23">
        <v>15400</v>
      </c>
      <c r="G21" s="11">
        <v>3.6</v>
      </c>
      <c r="H21" s="23">
        <f t="shared" si="0"/>
        <v>55440</v>
      </c>
      <c r="J21" s="24">
        <v>227</v>
      </c>
      <c r="K21" s="12">
        <v>0.77798218821352672</v>
      </c>
      <c r="L21" s="11" t="s">
        <v>83</v>
      </c>
      <c r="M21" s="11" t="s">
        <v>84</v>
      </c>
      <c r="N21" s="12">
        <v>0.1</v>
      </c>
      <c r="O21" s="12">
        <v>2</v>
      </c>
      <c r="P21" s="11" t="s">
        <v>85</v>
      </c>
      <c r="Q21" s="11" t="s">
        <v>86</v>
      </c>
      <c r="R21" s="11" t="s">
        <v>391</v>
      </c>
      <c r="S21" s="11" t="s">
        <v>88</v>
      </c>
      <c r="T21" s="11" t="s">
        <v>89</v>
      </c>
      <c r="U21" s="11" t="s">
        <v>90</v>
      </c>
      <c r="V21" s="11" t="s">
        <v>83</v>
      </c>
      <c r="W21" s="11" t="s">
        <v>82</v>
      </c>
      <c r="X21" s="12">
        <v>1</v>
      </c>
      <c r="Y21" s="12">
        <v>0</v>
      </c>
      <c r="Z21" s="24">
        <v>20</v>
      </c>
      <c r="AA21" t="s">
        <v>441</v>
      </c>
      <c r="AB21" t="s">
        <v>92</v>
      </c>
    </row>
    <row r="22" spans="2:28" x14ac:dyDescent="0.25">
      <c r="B22" s="11" t="s">
        <v>442</v>
      </c>
      <c r="C22" s="11" t="s">
        <v>443</v>
      </c>
      <c r="D22" s="11" t="s">
        <v>444</v>
      </c>
      <c r="E22" s="12">
        <v>0</v>
      </c>
      <c r="F22" s="23">
        <v>8640</v>
      </c>
      <c r="G22" s="11">
        <v>3.6</v>
      </c>
      <c r="H22" s="23">
        <f t="shared" si="0"/>
        <v>31104</v>
      </c>
      <c r="J22" s="24">
        <v>218</v>
      </c>
      <c r="K22" s="12">
        <v>1.0667031578394335</v>
      </c>
      <c r="L22" s="11" t="s">
        <v>83</v>
      </c>
      <c r="M22" s="11" t="s">
        <v>84</v>
      </c>
      <c r="N22" s="12">
        <v>0.1</v>
      </c>
      <c r="O22" s="12">
        <v>2</v>
      </c>
      <c r="P22" s="11" t="s">
        <v>85</v>
      </c>
      <c r="Q22" s="11" t="s">
        <v>86</v>
      </c>
      <c r="R22" s="11" t="s">
        <v>391</v>
      </c>
      <c r="S22" s="11" t="s">
        <v>88</v>
      </c>
      <c r="T22" s="11" t="s">
        <v>89</v>
      </c>
      <c r="U22" s="11" t="s">
        <v>90</v>
      </c>
      <c r="V22" s="11" t="s">
        <v>83</v>
      </c>
      <c r="W22" s="11" t="s">
        <v>82</v>
      </c>
      <c r="X22" s="12">
        <v>1</v>
      </c>
      <c r="Y22" s="12">
        <v>0</v>
      </c>
      <c r="Z22" s="24">
        <v>20</v>
      </c>
      <c r="AA22" t="s">
        <v>445</v>
      </c>
      <c r="AB22" t="s">
        <v>92</v>
      </c>
    </row>
    <row r="23" spans="2:28" x14ac:dyDescent="0.25">
      <c r="B23" s="11" t="s">
        <v>446</v>
      </c>
      <c r="C23" s="11" t="s">
        <v>447</v>
      </c>
      <c r="D23" s="11" t="s">
        <v>448</v>
      </c>
      <c r="E23" s="12">
        <v>0</v>
      </c>
      <c r="F23" s="23">
        <v>2200</v>
      </c>
      <c r="G23" s="11">
        <v>6</v>
      </c>
      <c r="H23" s="23">
        <f t="shared" si="0"/>
        <v>13200</v>
      </c>
      <c r="I23" s="23">
        <f>AVERAGE(H23:H25)</f>
        <v>14200</v>
      </c>
      <c r="J23" s="24">
        <v>110</v>
      </c>
      <c r="K23" s="12">
        <v>1.4520487762353702</v>
      </c>
      <c r="L23" s="11" t="s">
        <v>83</v>
      </c>
      <c r="M23" s="11" t="s">
        <v>84</v>
      </c>
      <c r="N23" s="12">
        <v>0.1</v>
      </c>
      <c r="O23" s="12">
        <v>2</v>
      </c>
      <c r="P23" s="11" t="s">
        <v>85</v>
      </c>
      <c r="Q23" s="11" t="s">
        <v>86</v>
      </c>
      <c r="R23" s="11" t="s">
        <v>391</v>
      </c>
      <c r="S23" s="11" t="s">
        <v>88</v>
      </c>
      <c r="T23" s="11" t="s">
        <v>89</v>
      </c>
      <c r="U23" s="11" t="s">
        <v>90</v>
      </c>
      <c r="V23" s="11" t="s">
        <v>83</v>
      </c>
      <c r="W23" s="11" t="s">
        <v>82</v>
      </c>
      <c r="X23" s="12">
        <v>1</v>
      </c>
      <c r="Y23" s="12">
        <v>0</v>
      </c>
      <c r="Z23" s="24">
        <v>20</v>
      </c>
      <c r="AA23" t="s">
        <v>449</v>
      </c>
      <c r="AB23" t="s">
        <v>92</v>
      </c>
    </row>
    <row r="24" spans="2:28" x14ac:dyDescent="0.25">
      <c r="B24" s="11" t="s">
        <v>450</v>
      </c>
      <c r="C24" s="11" t="s">
        <v>451</v>
      </c>
      <c r="D24" s="11" t="s">
        <v>452</v>
      </c>
      <c r="E24" s="12">
        <v>0</v>
      </c>
      <c r="F24" s="23">
        <v>2140</v>
      </c>
      <c r="G24" s="11">
        <v>6</v>
      </c>
      <c r="H24" s="23">
        <f t="shared" si="0"/>
        <v>12840</v>
      </c>
      <c r="J24" s="24">
        <v>107</v>
      </c>
      <c r="K24" s="12">
        <v>1.4989702132520792</v>
      </c>
      <c r="L24" s="11" t="s">
        <v>83</v>
      </c>
      <c r="M24" s="11" t="s">
        <v>84</v>
      </c>
      <c r="N24" s="12">
        <v>0.1</v>
      </c>
      <c r="O24" s="12">
        <v>2</v>
      </c>
      <c r="P24" s="11" t="s">
        <v>85</v>
      </c>
      <c r="Q24" s="11" t="s">
        <v>86</v>
      </c>
      <c r="R24" s="11" t="s">
        <v>391</v>
      </c>
      <c r="S24" s="11" t="s">
        <v>88</v>
      </c>
      <c r="T24" s="11" t="s">
        <v>89</v>
      </c>
      <c r="U24" s="11" t="s">
        <v>90</v>
      </c>
      <c r="V24" s="11" t="s">
        <v>83</v>
      </c>
      <c r="W24" s="11" t="s">
        <v>82</v>
      </c>
      <c r="X24" s="12">
        <v>1</v>
      </c>
      <c r="Y24" s="12">
        <v>0</v>
      </c>
      <c r="Z24" s="24">
        <v>20</v>
      </c>
      <c r="AA24" t="s">
        <v>453</v>
      </c>
      <c r="AB24" t="s">
        <v>92</v>
      </c>
    </row>
    <row r="25" spans="2:28" x14ac:dyDescent="0.25">
      <c r="B25" s="11" t="s">
        <v>454</v>
      </c>
      <c r="C25" s="11" t="s">
        <v>455</v>
      </c>
      <c r="D25" s="11" t="s">
        <v>456</v>
      </c>
      <c r="E25" s="12">
        <v>0</v>
      </c>
      <c r="F25" s="23">
        <v>2760</v>
      </c>
      <c r="G25" s="11">
        <v>6</v>
      </c>
      <c r="H25" s="23">
        <f t="shared" si="0"/>
        <v>16560</v>
      </c>
      <c r="J25" s="24">
        <v>138</v>
      </c>
      <c r="K25" s="12">
        <v>1.5235257910390239</v>
      </c>
      <c r="L25" s="11" t="s">
        <v>83</v>
      </c>
      <c r="M25" s="11" t="s">
        <v>84</v>
      </c>
      <c r="N25" s="12">
        <v>0.1</v>
      </c>
      <c r="O25" s="12">
        <v>2</v>
      </c>
      <c r="P25" s="11" t="s">
        <v>85</v>
      </c>
      <c r="Q25" s="11" t="s">
        <v>86</v>
      </c>
      <c r="R25" s="11" t="s">
        <v>391</v>
      </c>
      <c r="S25" s="11" t="s">
        <v>88</v>
      </c>
      <c r="T25" s="11" t="s">
        <v>89</v>
      </c>
      <c r="U25" s="11" t="s">
        <v>90</v>
      </c>
      <c r="V25" s="11" t="s">
        <v>83</v>
      </c>
      <c r="W25" s="11" t="s">
        <v>82</v>
      </c>
      <c r="X25" s="12">
        <v>1</v>
      </c>
      <c r="Y25" s="12">
        <v>0</v>
      </c>
      <c r="Z25" s="24">
        <v>20</v>
      </c>
      <c r="AA25" t="s">
        <v>457</v>
      </c>
      <c r="AB25" t="s">
        <v>92</v>
      </c>
    </row>
    <row r="26" spans="2:28" x14ac:dyDescent="0.25">
      <c r="B26" s="11" t="s">
        <v>458</v>
      </c>
      <c r="C26" s="11" t="s">
        <v>459</v>
      </c>
      <c r="D26" s="11" t="s">
        <v>460</v>
      </c>
      <c r="E26" s="12">
        <v>0</v>
      </c>
      <c r="F26" s="23">
        <v>6190</v>
      </c>
      <c r="G26" s="11">
        <v>3.2</v>
      </c>
      <c r="H26" s="23">
        <f t="shared" si="0"/>
        <v>19808</v>
      </c>
      <c r="I26" s="23">
        <f>AVERAGE(H26:H28)</f>
        <v>18293.333333333332</v>
      </c>
      <c r="J26" s="24">
        <v>219</v>
      </c>
      <c r="K26" s="12">
        <v>1.2155443912592905</v>
      </c>
      <c r="L26" s="11" t="s">
        <v>83</v>
      </c>
      <c r="M26" s="11" t="s">
        <v>84</v>
      </c>
      <c r="N26" s="12">
        <v>0.1</v>
      </c>
      <c r="O26" s="12">
        <v>2</v>
      </c>
      <c r="P26" s="11" t="s">
        <v>85</v>
      </c>
      <c r="Q26" s="11" t="s">
        <v>86</v>
      </c>
      <c r="R26" s="11" t="s">
        <v>391</v>
      </c>
      <c r="S26" s="11" t="s">
        <v>88</v>
      </c>
      <c r="T26" s="11" t="s">
        <v>89</v>
      </c>
      <c r="U26" s="11" t="s">
        <v>90</v>
      </c>
      <c r="V26" s="11" t="s">
        <v>83</v>
      </c>
      <c r="W26" s="11" t="s">
        <v>82</v>
      </c>
      <c r="X26" s="12">
        <v>1</v>
      </c>
      <c r="Y26" s="12">
        <v>0</v>
      </c>
      <c r="Z26" s="24">
        <v>20</v>
      </c>
      <c r="AA26" t="s">
        <v>461</v>
      </c>
      <c r="AB26" t="s">
        <v>92</v>
      </c>
    </row>
    <row r="27" spans="2:28" x14ac:dyDescent="0.25">
      <c r="B27" s="11" t="s">
        <v>462</v>
      </c>
      <c r="C27" s="11" t="s">
        <v>463</v>
      </c>
      <c r="D27" s="11" t="s">
        <v>464</v>
      </c>
      <c r="E27" s="12">
        <v>0</v>
      </c>
      <c r="F27" s="23">
        <v>5310</v>
      </c>
      <c r="G27" s="11">
        <v>3.2</v>
      </c>
      <c r="H27" s="23">
        <f t="shared" si="0"/>
        <v>16992</v>
      </c>
      <c r="J27" s="24">
        <v>220</v>
      </c>
      <c r="K27" s="12">
        <v>1.1874935252718024</v>
      </c>
      <c r="L27" s="11" t="s">
        <v>83</v>
      </c>
      <c r="M27" s="11" t="s">
        <v>84</v>
      </c>
      <c r="N27" s="12">
        <v>0.1</v>
      </c>
      <c r="O27" s="12">
        <v>2</v>
      </c>
      <c r="P27" s="11" t="s">
        <v>85</v>
      </c>
      <c r="Q27" s="11" t="s">
        <v>86</v>
      </c>
      <c r="R27" s="11" t="s">
        <v>391</v>
      </c>
      <c r="S27" s="11" t="s">
        <v>88</v>
      </c>
      <c r="T27" s="11" t="s">
        <v>89</v>
      </c>
      <c r="U27" s="11" t="s">
        <v>90</v>
      </c>
      <c r="V27" s="11" t="s">
        <v>83</v>
      </c>
      <c r="W27" s="11" t="s">
        <v>82</v>
      </c>
      <c r="X27" s="12">
        <v>1</v>
      </c>
      <c r="Y27" s="12">
        <v>0</v>
      </c>
      <c r="Z27" s="24">
        <v>20</v>
      </c>
      <c r="AA27" t="s">
        <v>465</v>
      </c>
      <c r="AB27" t="s">
        <v>92</v>
      </c>
    </row>
    <row r="28" spans="2:28" x14ac:dyDescent="0.25">
      <c r="B28" s="11" t="s">
        <v>466</v>
      </c>
      <c r="C28" s="11" t="s">
        <v>467</v>
      </c>
      <c r="D28" s="11" t="s">
        <v>468</v>
      </c>
      <c r="E28" s="12">
        <v>0</v>
      </c>
      <c r="F28" s="23">
        <v>5650</v>
      </c>
      <c r="G28" s="11">
        <v>3.2</v>
      </c>
      <c r="H28" s="23">
        <f t="shared" si="0"/>
        <v>18080</v>
      </c>
      <c r="J28" s="24">
        <v>224</v>
      </c>
      <c r="K28" s="12">
        <v>1.1556324991724127</v>
      </c>
      <c r="L28" s="11" t="s">
        <v>83</v>
      </c>
      <c r="M28" s="11" t="s">
        <v>84</v>
      </c>
      <c r="N28" s="12">
        <v>0.1</v>
      </c>
      <c r="O28" s="12">
        <v>2</v>
      </c>
      <c r="P28" s="11" t="s">
        <v>85</v>
      </c>
      <c r="Q28" s="11" t="s">
        <v>86</v>
      </c>
      <c r="R28" s="11" t="s">
        <v>391</v>
      </c>
      <c r="S28" s="11" t="s">
        <v>88</v>
      </c>
      <c r="T28" s="11" t="s">
        <v>89</v>
      </c>
      <c r="U28" s="11" t="s">
        <v>90</v>
      </c>
      <c r="V28" s="11" t="s">
        <v>83</v>
      </c>
      <c r="W28" s="11" t="s">
        <v>82</v>
      </c>
      <c r="X28" s="12">
        <v>1</v>
      </c>
      <c r="Y28" s="12">
        <v>0</v>
      </c>
      <c r="Z28" s="24">
        <v>20</v>
      </c>
      <c r="AA28" t="s">
        <v>469</v>
      </c>
      <c r="AB28" t="s">
        <v>92</v>
      </c>
    </row>
    <row r="30" spans="2:28" x14ac:dyDescent="0.25">
      <c r="D30" s="11" t="s">
        <v>470</v>
      </c>
      <c r="H30" s="11" t="s">
        <v>471</v>
      </c>
      <c r="I30" s="23">
        <f>AVERAGE(I5:I11)</f>
        <v>13552555.555555554</v>
      </c>
      <c r="K30" s="22" t="s">
        <v>472</v>
      </c>
      <c r="L30" s="11">
        <f>SQRT((I30/3)+(I34/5))</f>
        <v>2127.6974750149948</v>
      </c>
    </row>
    <row r="31" spans="2:28" x14ac:dyDescent="0.25">
      <c r="H31" s="11" t="s">
        <v>473</v>
      </c>
      <c r="I31" s="23">
        <f>STDEV(I5:I11)</f>
        <v>2185481.5470720921</v>
      </c>
    </row>
    <row r="34" spans="1:17" x14ac:dyDescent="0.25">
      <c r="H34" s="63" t="s">
        <v>474</v>
      </c>
      <c r="I34" s="23">
        <f>AVERAGE(I14:I26)</f>
        <v>47890.133333333331</v>
      </c>
      <c r="K34" s="12" t="s">
        <v>475</v>
      </c>
    </row>
    <row r="35" spans="1:17" x14ac:dyDescent="0.25">
      <c r="H35" s="63" t="s">
        <v>476</v>
      </c>
      <c r="I35" s="23">
        <f>STDEV(I14:I26)</f>
        <v>61676.682873766084</v>
      </c>
      <c r="K35" s="23">
        <f>I30-I34</f>
        <v>13504665.422222221</v>
      </c>
      <c r="L35" s="11">
        <f>(I34/I30)*100</f>
        <v>0.35336607281939447</v>
      </c>
    </row>
    <row r="42" spans="1:17" x14ac:dyDescent="0.25">
      <c r="A42" t="s">
        <v>758</v>
      </c>
      <c r="D42" s="11" t="s">
        <v>765</v>
      </c>
      <c r="F42" s="23" t="s">
        <v>760</v>
      </c>
      <c r="H42" s="24"/>
      <c r="P42" s="11" t="s">
        <v>797</v>
      </c>
    </row>
    <row r="43" spans="1:17" ht="38.25" x14ac:dyDescent="0.25">
      <c r="A43" s="5" t="s">
        <v>42</v>
      </c>
      <c r="B43" s="6" t="s">
        <v>43</v>
      </c>
      <c r="C43" s="7" t="s">
        <v>44</v>
      </c>
      <c r="D43" s="7" t="s">
        <v>45</v>
      </c>
      <c r="E43" s="8" t="s">
        <v>46</v>
      </c>
      <c r="F43" s="9" t="s">
        <v>47</v>
      </c>
      <c r="G43" s="10" t="s">
        <v>48</v>
      </c>
      <c r="H43" s="10" t="s">
        <v>781</v>
      </c>
      <c r="J43" s="11"/>
      <c r="K43" s="12" t="s">
        <v>774</v>
      </c>
      <c r="M43" s="11" t="s">
        <v>773</v>
      </c>
      <c r="N43" s="12" t="s">
        <v>472</v>
      </c>
      <c r="P43" s="106" t="s">
        <v>798</v>
      </c>
      <c r="Q43" s="11" t="s">
        <v>472</v>
      </c>
    </row>
    <row r="44" spans="1:17" ht="38.25" x14ac:dyDescent="0.25">
      <c r="A44" s="13" t="s">
        <v>746</v>
      </c>
      <c r="B44" s="14">
        <v>1</v>
      </c>
      <c r="C44" s="15"/>
      <c r="D44" s="16"/>
      <c r="E44" s="17"/>
      <c r="F44" s="15">
        <f>I2</f>
        <v>17640000</v>
      </c>
      <c r="G44" s="149" t="s">
        <v>51</v>
      </c>
      <c r="H44" s="155"/>
      <c r="J44" s="11"/>
      <c r="K44" s="12">
        <f>LOG(F44)</f>
        <v>7.2464985807958007</v>
      </c>
      <c r="M44" s="12">
        <f>(LOG(GEOMEAN(F45:F47)))-(LOG(GEOMEAN(F48:F52)))</f>
        <v>2.6806415143987632</v>
      </c>
      <c r="N44" s="90">
        <f>SQRT(VAR(K45:K47)/3+(VAR(K48:K52)/5))</f>
        <v>0.21397417478136352</v>
      </c>
      <c r="P44" s="12">
        <f>AVERAGE(K45:K47)</f>
        <v>7.128048708385454</v>
      </c>
      <c r="Q44" s="12">
        <f>SQRT(VAR(K45:K47)/3)</f>
        <v>4.2082774652534044E-2</v>
      </c>
    </row>
    <row r="45" spans="1:17" x14ac:dyDescent="0.25">
      <c r="A45" s="148" t="s">
        <v>748</v>
      </c>
      <c r="B45" s="14">
        <v>1</v>
      </c>
      <c r="C45" s="15"/>
      <c r="D45" s="16"/>
      <c r="E45" s="17"/>
      <c r="F45" s="15">
        <f>I5</f>
        <v>15376000</v>
      </c>
      <c r="G45" s="156">
        <f>AVERAGE(F45:F47)</f>
        <v>13552555.555555554</v>
      </c>
      <c r="H45" s="159">
        <f>STDEV(F45:F47)</f>
        <v>2185481.5470720921</v>
      </c>
      <c r="J45" s="11"/>
      <c r="K45" s="12">
        <f t="shared" ref="K45:K52" si="1">LOG(F45)</f>
        <v>7.1868433703244703</v>
      </c>
    </row>
    <row r="46" spans="1:17" x14ac:dyDescent="0.25">
      <c r="A46" s="148"/>
      <c r="B46" s="14">
        <v>2</v>
      </c>
      <c r="C46" s="15"/>
      <c r="D46" s="16"/>
      <c r="E46" s="17"/>
      <c r="F46" s="15">
        <f>I8</f>
        <v>14151666.666666666</v>
      </c>
      <c r="G46" s="157"/>
      <c r="H46" s="160"/>
      <c r="I46" s="21">
        <f>G45/F44</f>
        <v>0.76828546233308126</v>
      </c>
      <c r="J46" s="22" t="s">
        <v>52</v>
      </c>
      <c r="K46" s="12">
        <f t="shared" si="1"/>
        <v>7.1508075904971857</v>
      </c>
    </row>
    <row r="47" spans="1:17" x14ac:dyDescent="0.25">
      <c r="A47" s="148"/>
      <c r="B47" s="14">
        <v>3</v>
      </c>
      <c r="C47" s="15"/>
      <c r="D47" s="16"/>
      <c r="E47" s="17"/>
      <c r="F47" s="15">
        <f>I11</f>
        <v>11130000</v>
      </c>
      <c r="G47" s="158"/>
      <c r="H47" s="161"/>
      <c r="I47" s="18"/>
      <c r="J47" s="20"/>
      <c r="K47" s="12">
        <f t="shared" si="1"/>
        <v>7.0464951643347087</v>
      </c>
    </row>
    <row r="48" spans="1:17" x14ac:dyDescent="0.25">
      <c r="A48" s="148" t="s">
        <v>749</v>
      </c>
      <c r="B48" s="14">
        <v>1</v>
      </c>
      <c r="C48" s="65"/>
      <c r="D48" s="17"/>
      <c r="E48" s="15"/>
      <c r="F48" s="15">
        <f>I14</f>
        <v>156306.66666666666</v>
      </c>
      <c r="G48" s="185">
        <f>AVERAGE(F48:F52)</f>
        <v>47890.133333333331</v>
      </c>
      <c r="H48" s="147">
        <f>STDEV(F48:F52)</f>
        <v>61676.682873766084</v>
      </c>
      <c r="J48" s="11"/>
      <c r="K48" s="12">
        <f t="shared" si="1"/>
        <v>5.1939775015943708</v>
      </c>
    </row>
    <row r="49" spans="1:11" x14ac:dyDescent="0.25">
      <c r="A49" s="148"/>
      <c r="B49" s="14">
        <v>2</v>
      </c>
      <c r="C49" s="65"/>
      <c r="D49" s="17"/>
      <c r="E49" s="15"/>
      <c r="F49" s="15">
        <f>I17</f>
        <v>10618.666666666666</v>
      </c>
      <c r="G49" s="186"/>
      <c r="H49" s="164"/>
      <c r="J49" s="11"/>
      <c r="K49" s="12">
        <f t="shared" si="1"/>
        <v>4.0260699879636714</v>
      </c>
    </row>
    <row r="50" spans="1:11" x14ac:dyDescent="0.25">
      <c r="A50" s="148"/>
      <c r="B50" s="14">
        <v>3</v>
      </c>
      <c r="C50" s="65"/>
      <c r="D50" s="17"/>
      <c r="E50" s="15"/>
      <c r="F50" s="15">
        <f>I20</f>
        <v>40032</v>
      </c>
      <c r="G50" s="186"/>
      <c r="H50" s="164"/>
      <c r="J50" s="11"/>
      <c r="K50" s="12">
        <f t="shared" si="1"/>
        <v>4.6024072880133255</v>
      </c>
    </row>
    <row r="51" spans="1:11" x14ac:dyDescent="0.25">
      <c r="A51" s="148"/>
      <c r="B51" s="14">
        <v>4</v>
      </c>
      <c r="C51" s="65"/>
      <c r="D51" s="17"/>
      <c r="E51" s="15"/>
      <c r="F51" s="15">
        <f>I23</f>
        <v>14200</v>
      </c>
      <c r="G51" s="186"/>
      <c r="H51" s="164"/>
      <c r="J51" s="11"/>
      <c r="K51" s="12">
        <f t="shared" si="1"/>
        <v>4.1522883443830567</v>
      </c>
    </row>
    <row r="52" spans="1:11" x14ac:dyDescent="0.25">
      <c r="A52" s="148"/>
      <c r="B52" s="14">
        <v>5</v>
      </c>
      <c r="C52" s="65"/>
      <c r="D52" s="17"/>
      <c r="E52" s="15"/>
      <c r="F52" s="15">
        <f>I26</f>
        <v>18293.333333333332</v>
      </c>
      <c r="G52" s="187"/>
      <c r="H52" s="165"/>
      <c r="J52" s="11"/>
      <c r="K52" s="12">
        <f t="shared" si="1"/>
        <v>4.2622928479790332</v>
      </c>
    </row>
    <row r="58" spans="1:11" x14ac:dyDescent="0.25">
      <c r="B58" s="11" t="s">
        <v>808</v>
      </c>
      <c r="C58" s="11" t="s">
        <v>810</v>
      </c>
      <c r="D58" s="12" t="s">
        <v>809</v>
      </c>
    </row>
    <row r="59" spans="1:11" x14ac:dyDescent="0.25">
      <c r="A59" t="s">
        <v>799</v>
      </c>
      <c r="B59" s="11">
        <f>LOG(F45)</f>
        <v>7.1868433703244703</v>
      </c>
      <c r="C59" s="12">
        <f>AVERAGE(B59:B61)</f>
        <v>7.128048708385454</v>
      </c>
      <c r="D59" s="12">
        <f>STDEV(B59:B61)</f>
        <v>7.2889503821660664E-2</v>
      </c>
    </row>
    <row r="60" spans="1:11" x14ac:dyDescent="0.25">
      <c r="B60" s="11">
        <f t="shared" ref="B60:B66" si="2">LOG(F46)</f>
        <v>7.1508075904971857</v>
      </c>
      <c r="D60" s="12"/>
    </row>
    <row r="61" spans="1:11" x14ac:dyDescent="0.25">
      <c r="B61" s="11">
        <f t="shared" si="2"/>
        <v>7.0464951643347087</v>
      </c>
      <c r="D61" s="12"/>
    </row>
    <row r="62" spans="1:11" x14ac:dyDescent="0.25">
      <c r="A62" t="s">
        <v>807</v>
      </c>
      <c r="B62" s="11">
        <f t="shared" si="2"/>
        <v>5.1939775015943708</v>
      </c>
      <c r="C62" s="11">
        <f>AVERAGE(B62:B66)</f>
        <v>4.4474071939866908</v>
      </c>
      <c r="D62" s="12">
        <f>STDEV(B62:B66)</f>
        <v>0.46911612395498381</v>
      </c>
    </row>
    <row r="63" spans="1:11" x14ac:dyDescent="0.25">
      <c r="B63" s="11">
        <f t="shared" si="2"/>
        <v>4.0260699879636714</v>
      </c>
      <c r="D63" s="12"/>
    </row>
    <row r="64" spans="1:11" x14ac:dyDescent="0.25">
      <c r="B64" s="11">
        <f t="shared" si="2"/>
        <v>4.6024072880133255</v>
      </c>
      <c r="D64" s="12"/>
    </row>
    <row r="65" spans="2:4" x14ac:dyDescent="0.25">
      <c r="B65" s="11">
        <f t="shared" si="2"/>
        <v>4.1522883443830567</v>
      </c>
      <c r="D65" s="12"/>
    </row>
    <row r="66" spans="2:4" x14ac:dyDescent="0.25">
      <c r="B66" s="11">
        <f t="shared" si="2"/>
        <v>4.2622928479790332</v>
      </c>
      <c r="D66" s="12"/>
    </row>
  </sheetData>
  <mergeCells count="7">
    <mergeCell ref="G44:H44"/>
    <mergeCell ref="A45:A47"/>
    <mergeCell ref="G45:G47"/>
    <mergeCell ref="H45:H47"/>
    <mergeCell ref="A48:A52"/>
    <mergeCell ref="G48:G52"/>
    <mergeCell ref="H48:H5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topLeftCell="A37" workbookViewId="0">
      <selection activeCell="B62" sqref="B62:B66"/>
    </sheetView>
  </sheetViews>
  <sheetFormatPr defaultRowHeight="15" x14ac:dyDescent="0.25"/>
  <cols>
    <col min="2" max="2" width="9.140625" style="11"/>
    <col min="3" max="3" width="13.42578125" style="11" customWidth="1"/>
    <col min="4" max="4" width="13.28515625" style="11" customWidth="1"/>
    <col min="5" max="5" width="11.85546875" style="12" customWidth="1"/>
    <col min="6" max="6" width="9.140625" style="23"/>
    <col min="7" max="7" width="9.140625" style="11"/>
    <col min="8" max="8" width="13.85546875" style="11" customWidth="1"/>
    <col min="9" max="9" width="9.140625" style="11"/>
    <col min="10" max="10" width="9.140625" style="24"/>
    <col min="11" max="11" width="9.140625" style="12"/>
    <col min="12" max="13" width="9.140625" style="11"/>
    <col min="14" max="15" width="9.140625" style="12"/>
    <col min="16" max="16" width="9.140625" style="11"/>
    <col min="17" max="17" width="13.28515625" style="11" customWidth="1"/>
    <col min="18" max="23" width="9.140625" style="11"/>
    <col min="24" max="25" width="9.140625" style="12"/>
    <col min="26" max="26" width="9.140625" style="24"/>
    <col min="27" max="27" width="21.7109375" customWidth="1"/>
    <col min="259" max="259" width="13.42578125" customWidth="1"/>
    <col min="260" max="260" width="13.28515625" customWidth="1"/>
    <col min="261" max="261" width="11.85546875" customWidth="1"/>
    <col min="264" max="264" width="13.85546875" customWidth="1"/>
    <col min="273" max="273" width="13.28515625" customWidth="1"/>
    <col min="283" max="283" width="21.7109375" customWidth="1"/>
    <col min="515" max="515" width="13.42578125" customWidth="1"/>
    <col min="516" max="516" width="13.28515625" customWidth="1"/>
    <col min="517" max="517" width="11.85546875" customWidth="1"/>
    <col min="520" max="520" width="13.85546875" customWidth="1"/>
    <col min="529" max="529" width="13.28515625" customWidth="1"/>
    <col min="539" max="539" width="21.7109375" customWidth="1"/>
    <col min="771" max="771" width="13.42578125" customWidth="1"/>
    <col min="772" max="772" width="13.28515625" customWidth="1"/>
    <col min="773" max="773" width="11.85546875" customWidth="1"/>
    <col min="776" max="776" width="13.85546875" customWidth="1"/>
    <col min="785" max="785" width="13.28515625" customWidth="1"/>
    <col min="795" max="795" width="21.7109375" customWidth="1"/>
    <col min="1027" max="1027" width="13.42578125" customWidth="1"/>
    <col min="1028" max="1028" width="13.28515625" customWidth="1"/>
    <col min="1029" max="1029" width="11.85546875" customWidth="1"/>
    <col min="1032" max="1032" width="13.85546875" customWidth="1"/>
    <col min="1041" max="1041" width="13.28515625" customWidth="1"/>
    <col min="1051" max="1051" width="21.7109375" customWidth="1"/>
    <col min="1283" max="1283" width="13.42578125" customWidth="1"/>
    <col min="1284" max="1284" width="13.28515625" customWidth="1"/>
    <col min="1285" max="1285" width="11.85546875" customWidth="1"/>
    <col min="1288" max="1288" width="13.85546875" customWidth="1"/>
    <col min="1297" max="1297" width="13.28515625" customWidth="1"/>
    <col min="1307" max="1307" width="21.7109375" customWidth="1"/>
    <col min="1539" max="1539" width="13.42578125" customWidth="1"/>
    <col min="1540" max="1540" width="13.28515625" customWidth="1"/>
    <col min="1541" max="1541" width="11.85546875" customWidth="1"/>
    <col min="1544" max="1544" width="13.85546875" customWidth="1"/>
    <col min="1553" max="1553" width="13.28515625" customWidth="1"/>
    <col min="1563" max="1563" width="21.7109375" customWidth="1"/>
    <col min="1795" max="1795" width="13.42578125" customWidth="1"/>
    <col min="1796" max="1796" width="13.28515625" customWidth="1"/>
    <col min="1797" max="1797" width="11.85546875" customWidth="1"/>
    <col min="1800" max="1800" width="13.85546875" customWidth="1"/>
    <col min="1809" max="1809" width="13.28515625" customWidth="1"/>
    <col min="1819" max="1819" width="21.7109375" customWidth="1"/>
    <col min="2051" max="2051" width="13.42578125" customWidth="1"/>
    <col min="2052" max="2052" width="13.28515625" customWidth="1"/>
    <col min="2053" max="2053" width="11.85546875" customWidth="1"/>
    <col min="2056" max="2056" width="13.85546875" customWidth="1"/>
    <col min="2065" max="2065" width="13.28515625" customWidth="1"/>
    <col min="2075" max="2075" width="21.7109375" customWidth="1"/>
    <col min="2307" max="2307" width="13.42578125" customWidth="1"/>
    <col min="2308" max="2308" width="13.28515625" customWidth="1"/>
    <col min="2309" max="2309" width="11.85546875" customWidth="1"/>
    <col min="2312" max="2312" width="13.85546875" customWidth="1"/>
    <col min="2321" max="2321" width="13.28515625" customWidth="1"/>
    <col min="2331" max="2331" width="21.7109375" customWidth="1"/>
    <col min="2563" max="2563" width="13.42578125" customWidth="1"/>
    <col min="2564" max="2564" width="13.28515625" customWidth="1"/>
    <col min="2565" max="2565" width="11.85546875" customWidth="1"/>
    <col min="2568" max="2568" width="13.85546875" customWidth="1"/>
    <col min="2577" max="2577" width="13.28515625" customWidth="1"/>
    <col min="2587" max="2587" width="21.7109375" customWidth="1"/>
    <col min="2819" max="2819" width="13.42578125" customWidth="1"/>
    <col min="2820" max="2820" width="13.28515625" customWidth="1"/>
    <col min="2821" max="2821" width="11.85546875" customWidth="1"/>
    <col min="2824" max="2824" width="13.85546875" customWidth="1"/>
    <col min="2833" max="2833" width="13.28515625" customWidth="1"/>
    <col min="2843" max="2843" width="21.7109375" customWidth="1"/>
    <col min="3075" max="3075" width="13.42578125" customWidth="1"/>
    <col min="3076" max="3076" width="13.28515625" customWidth="1"/>
    <col min="3077" max="3077" width="11.85546875" customWidth="1"/>
    <col min="3080" max="3080" width="13.85546875" customWidth="1"/>
    <col min="3089" max="3089" width="13.28515625" customWidth="1"/>
    <col min="3099" max="3099" width="21.7109375" customWidth="1"/>
    <col min="3331" max="3331" width="13.42578125" customWidth="1"/>
    <col min="3332" max="3332" width="13.28515625" customWidth="1"/>
    <col min="3333" max="3333" width="11.85546875" customWidth="1"/>
    <col min="3336" max="3336" width="13.85546875" customWidth="1"/>
    <col min="3345" max="3345" width="13.28515625" customWidth="1"/>
    <col min="3355" max="3355" width="21.7109375" customWidth="1"/>
    <col min="3587" max="3587" width="13.42578125" customWidth="1"/>
    <col min="3588" max="3588" width="13.28515625" customWidth="1"/>
    <col min="3589" max="3589" width="11.85546875" customWidth="1"/>
    <col min="3592" max="3592" width="13.85546875" customWidth="1"/>
    <col min="3601" max="3601" width="13.28515625" customWidth="1"/>
    <col min="3611" max="3611" width="21.7109375" customWidth="1"/>
    <col min="3843" max="3843" width="13.42578125" customWidth="1"/>
    <col min="3844" max="3844" width="13.28515625" customWidth="1"/>
    <col min="3845" max="3845" width="11.85546875" customWidth="1"/>
    <col min="3848" max="3848" width="13.85546875" customWidth="1"/>
    <col min="3857" max="3857" width="13.28515625" customWidth="1"/>
    <col min="3867" max="3867" width="21.7109375" customWidth="1"/>
    <col min="4099" max="4099" width="13.42578125" customWidth="1"/>
    <col min="4100" max="4100" width="13.28515625" customWidth="1"/>
    <col min="4101" max="4101" width="11.85546875" customWidth="1"/>
    <col min="4104" max="4104" width="13.85546875" customWidth="1"/>
    <col min="4113" max="4113" width="13.28515625" customWidth="1"/>
    <col min="4123" max="4123" width="21.7109375" customWidth="1"/>
    <col min="4355" max="4355" width="13.42578125" customWidth="1"/>
    <col min="4356" max="4356" width="13.28515625" customWidth="1"/>
    <col min="4357" max="4357" width="11.85546875" customWidth="1"/>
    <col min="4360" max="4360" width="13.85546875" customWidth="1"/>
    <col min="4369" max="4369" width="13.28515625" customWidth="1"/>
    <col min="4379" max="4379" width="21.7109375" customWidth="1"/>
    <col min="4611" max="4611" width="13.42578125" customWidth="1"/>
    <col min="4612" max="4612" width="13.28515625" customWidth="1"/>
    <col min="4613" max="4613" width="11.85546875" customWidth="1"/>
    <col min="4616" max="4616" width="13.85546875" customWidth="1"/>
    <col min="4625" max="4625" width="13.28515625" customWidth="1"/>
    <col min="4635" max="4635" width="21.7109375" customWidth="1"/>
    <col min="4867" max="4867" width="13.42578125" customWidth="1"/>
    <col min="4868" max="4868" width="13.28515625" customWidth="1"/>
    <col min="4869" max="4869" width="11.85546875" customWidth="1"/>
    <col min="4872" max="4872" width="13.85546875" customWidth="1"/>
    <col min="4881" max="4881" width="13.28515625" customWidth="1"/>
    <col min="4891" max="4891" width="21.7109375" customWidth="1"/>
    <col min="5123" max="5123" width="13.42578125" customWidth="1"/>
    <col min="5124" max="5124" width="13.28515625" customWidth="1"/>
    <col min="5125" max="5125" width="11.85546875" customWidth="1"/>
    <col min="5128" max="5128" width="13.85546875" customWidth="1"/>
    <col min="5137" max="5137" width="13.28515625" customWidth="1"/>
    <col min="5147" max="5147" width="21.7109375" customWidth="1"/>
    <col min="5379" max="5379" width="13.42578125" customWidth="1"/>
    <col min="5380" max="5380" width="13.28515625" customWidth="1"/>
    <col min="5381" max="5381" width="11.85546875" customWidth="1"/>
    <col min="5384" max="5384" width="13.85546875" customWidth="1"/>
    <col min="5393" max="5393" width="13.28515625" customWidth="1"/>
    <col min="5403" max="5403" width="21.7109375" customWidth="1"/>
    <col min="5635" max="5635" width="13.42578125" customWidth="1"/>
    <col min="5636" max="5636" width="13.28515625" customWidth="1"/>
    <col min="5637" max="5637" width="11.85546875" customWidth="1"/>
    <col min="5640" max="5640" width="13.85546875" customWidth="1"/>
    <col min="5649" max="5649" width="13.28515625" customWidth="1"/>
    <col min="5659" max="5659" width="21.7109375" customWidth="1"/>
    <col min="5891" max="5891" width="13.42578125" customWidth="1"/>
    <col min="5892" max="5892" width="13.28515625" customWidth="1"/>
    <col min="5893" max="5893" width="11.85546875" customWidth="1"/>
    <col min="5896" max="5896" width="13.85546875" customWidth="1"/>
    <col min="5905" max="5905" width="13.28515625" customWidth="1"/>
    <col min="5915" max="5915" width="21.7109375" customWidth="1"/>
    <col min="6147" max="6147" width="13.42578125" customWidth="1"/>
    <col min="6148" max="6148" width="13.28515625" customWidth="1"/>
    <col min="6149" max="6149" width="11.85546875" customWidth="1"/>
    <col min="6152" max="6152" width="13.85546875" customWidth="1"/>
    <col min="6161" max="6161" width="13.28515625" customWidth="1"/>
    <col min="6171" max="6171" width="21.7109375" customWidth="1"/>
    <col min="6403" max="6403" width="13.42578125" customWidth="1"/>
    <col min="6404" max="6404" width="13.28515625" customWidth="1"/>
    <col min="6405" max="6405" width="11.85546875" customWidth="1"/>
    <col min="6408" max="6408" width="13.85546875" customWidth="1"/>
    <col min="6417" max="6417" width="13.28515625" customWidth="1"/>
    <col min="6427" max="6427" width="21.7109375" customWidth="1"/>
    <col min="6659" max="6659" width="13.42578125" customWidth="1"/>
    <col min="6660" max="6660" width="13.28515625" customWidth="1"/>
    <col min="6661" max="6661" width="11.85546875" customWidth="1"/>
    <col min="6664" max="6664" width="13.85546875" customWidth="1"/>
    <col min="6673" max="6673" width="13.28515625" customWidth="1"/>
    <col min="6683" max="6683" width="21.7109375" customWidth="1"/>
    <col min="6915" max="6915" width="13.42578125" customWidth="1"/>
    <col min="6916" max="6916" width="13.28515625" customWidth="1"/>
    <col min="6917" max="6917" width="11.85546875" customWidth="1"/>
    <col min="6920" max="6920" width="13.85546875" customWidth="1"/>
    <col min="6929" max="6929" width="13.28515625" customWidth="1"/>
    <col min="6939" max="6939" width="21.7109375" customWidth="1"/>
    <col min="7171" max="7171" width="13.42578125" customWidth="1"/>
    <col min="7172" max="7172" width="13.28515625" customWidth="1"/>
    <col min="7173" max="7173" width="11.85546875" customWidth="1"/>
    <col min="7176" max="7176" width="13.85546875" customWidth="1"/>
    <col min="7185" max="7185" width="13.28515625" customWidth="1"/>
    <col min="7195" max="7195" width="21.7109375" customWidth="1"/>
    <col min="7427" max="7427" width="13.42578125" customWidth="1"/>
    <col min="7428" max="7428" width="13.28515625" customWidth="1"/>
    <col min="7429" max="7429" width="11.85546875" customWidth="1"/>
    <col min="7432" max="7432" width="13.85546875" customWidth="1"/>
    <col min="7441" max="7441" width="13.28515625" customWidth="1"/>
    <col min="7451" max="7451" width="21.7109375" customWidth="1"/>
    <col min="7683" max="7683" width="13.42578125" customWidth="1"/>
    <col min="7684" max="7684" width="13.28515625" customWidth="1"/>
    <col min="7685" max="7685" width="11.85546875" customWidth="1"/>
    <col min="7688" max="7688" width="13.85546875" customWidth="1"/>
    <col min="7697" max="7697" width="13.28515625" customWidth="1"/>
    <col min="7707" max="7707" width="21.7109375" customWidth="1"/>
    <col min="7939" max="7939" width="13.42578125" customWidth="1"/>
    <col min="7940" max="7940" width="13.28515625" customWidth="1"/>
    <col min="7941" max="7941" width="11.85546875" customWidth="1"/>
    <col min="7944" max="7944" width="13.85546875" customWidth="1"/>
    <col min="7953" max="7953" width="13.28515625" customWidth="1"/>
    <col min="7963" max="7963" width="21.7109375" customWidth="1"/>
    <col min="8195" max="8195" width="13.42578125" customWidth="1"/>
    <col min="8196" max="8196" width="13.28515625" customWidth="1"/>
    <col min="8197" max="8197" width="11.85546875" customWidth="1"/>
    <col min="8200" max="8200" width="13.85546875" customWidth="1"/>
    <col min="8209" max="8209" width="13.28515625" customWidth="1"/>
    <col min="8219" max="8219" width="21.7109375" customWidth="1"/>
    <col min="8451" max="8451" width="13.42578125" customWidth="1"/>
    <col min="8452" max="8452" width="13.28515625" customWidth="1"/>
    <col min="8453" max="8453" width="11.85546875" customWidth="1"/>
    <col min="8456" max="8456" width="13.85546875" customWidth="1"/>
    <col min="8465" max="8465" width="13.28515625" customWidth="1"/>
    <col min="8475" max="8475" width="21.7109375" customWidth="1"/>
    <col min="8707" max="8707" width="13.42578125" customWidth="1"/>
    <col min="8708" max="8708" width="13.28515625" customWidth="1"/>
    <col min="8709" max="8709" width="11.85546875" customWidth="1"/>
    <col min="8712" max="8712" width="13.85546875" customWidth="1"/>
    <col min="8721" max="8721" width="13.28515625" customWidth="1"/>
    <col min="8731" max="8731" width="21.7109375" customWidth="1"/>
    <col min="8963" max="8963" width="13.42578125" customWidth="1"/>
    <col min="8964" max="8964" width="13.28515625" customWidth="1"/>
    <col min="8965" max="8965" width="11.85546875" customWidth="1"/>
    <col min="8968" max="8968" width="13.85546875" customWidth="1"/>
    <col min="8977" max="8977" width="13.28515625" customWidth="1"/>
    <col min="8987" max="8987" width="21.7109375" customWidth="1"/>
    <col min="9219" max="9219" width="13.42578125" customWidth="1"/>
    <col min="9220" max="9220" width="13.28515625" customWidth="1"/>
    <col min="9221" max="9221" width="11.85546875" customWidth="1"/>
    <col min="9224" max="9224" width="13.85546875" customWidth="1"/>
    <col min="9233" max="9233" width="13.28515625" customWidth="1"/>
    <col min="9243" max="9243" width="21.7109375" customWidth="1"/>
    <col min="9475" max="9475" width="13.42578125" customWidth="1"/>
    <col min="9476" max="9476" width="13.28515625" customWidth="1"/>
    <col min="9477" max="9477" width="11.85546875" customWidth="1"/>
    <col min="9480" max="9480" width="13.85546875" customWidth="1"/>
    <col min="9489" max="9489" width="13.28515625" customWidth="1"/>
    <col min="9499" max="9499" width="21.7109375" customWidth="1"/>
    <col min="9731" max="9731" width="13.42578125" customWidth="1"/>
    <col min="9732" max="9732" width="13.28515625" customWidth="1"/>
    <col min="9733" max="9733" width="11.85546875" customWidth="1"/>
    <col min="9736" max="9736" width="13.85546875" customWidth="1"/>
    <col min="9745" max="9745" width="13.28515625" customWidth="1"/>
    <col min="9755" max="9755" width="21.7109375" customWidth="1"/>
    <col min="9987" max="9987" width="13.42578125" customWidth="1"/>
    <col min="9988" max="9988" width="13.28515625" customWidth="1"/>
    <col min="9989" max="9989" width="11.85546875" customWidth="1"/>
    <col min="9992" max="9992" width="13.85546875" customWidth="1"/>
    <col min="10001" max="10001" width="13.28515625" customWidth="1"/>
    <col min="10011" max="10011" width="21.7109375" customWidth="1"/>
    <col min="10243" max="10243" width="13.42578125" customWidth="1"/>
    <col min="10244" max="10244" width="13.28515625" customWidth="1"/>
    <col min="10245" max="10245" width="11.85546875" customWidth="1"/>
    <col min="10248" max="10248" width="13.85546875" customWidth="1"/>
    <col min="10257" max="10257" width="13.28515625" customWidth="1"/>
    <col min="10267" max="10267" width="21.7109375" customWidth="1"/>
    <col min="10499" max="10499" width="13.42578125" customWidth="1"/>
    <col min="10500" max="10500" width="13.28515625" customWidth="1"/>
    <col min="10501" max="10501" width="11.85546875" customWidth="1"/>
    <col min="10504" max="10504" width="13.85546875" customWidth="1"/>
    <col min="10513" max="10513" width="13.28515625" customWidth="1"/>
    <col min="10523" max="10523" width="21.7109375" customWidth="1"/>
    <col min="10755" max="10755" width="13.42578125" customWidth="1"/>
    <col min="10756" max="10756" width="13.28515625" customWidth="1"/>
    <col min="10757" max="10757" width="11.85546875" customWidth="1"/>
    <col min="10760" max="10760" width="13.85546875" customWidth="1"/>
    <col min="10769" max="10769" width="13.28515625" customWidth="1"/>
    <col min="10779" max="10779" width="21.7109375" customWidth="1"/>
    <col min="11011" max="11011" width="13.42578125" customWidth="1"/>
    <col min="11012" max="11012" width="13.28515625" customWidth="1"/>
    <col min="11013" max="11013" width="11.85546875" customWidth="1"/>
    <col min="11016" max="11016" width="13.85546875" customWidth="1"/>
    <col min="11025" max="11025" width="13.28515625" customWidth="1"/>
    <col min="11035" max="11035" width="21.7109375" customWidth="1"/>
    <col min="11267" max="11267" width="13.42578125" customWidth="1"/>
    <col min="11268" max="11268" width="13.28515625" customWidth="1"/>
    <col min="11269" max="11269" width="11.85546875" customWidth="1"/>
    <col min="11272" max="11272" width="13.85546875" customWidth="1"/>
    <col min="11281" max="11281" width="13.28515625" customWidth="1"/>
    <col min="11291" max="11291" width="21.7109375" customWidth="1"/>
    <col min="11523" max="11523" width="13.42578125" customWidth="1"/>
    <col min="11524" max="11524" width="13.28515625" customWidth="1"/>
    <col min="11525" max="11525" width="11.85546875" customWidth="1"/>
    <col min="11528" max="11528" width="13.85546875" customWidth="1"/>
    <col min="11537" max="11537" width="13.28515625" customWidth="1"/>
    <col min="11547" max="11547" width="21.7109375" customWidth="1"/>
    <col min="11779" max="11779" width="13.42578125" customWidth="1"/>
    <col min="11780" max="11780" width="13.28515625" customWidth="1"/>
    <col min="11781" max="11781" width="11.85546875" customWidth="1"/>
    <col min="11784" max="11784" width="13.85546875" customWidth="1"/>
    <col min="11793" max="11793" width="13.28515625" customWidth="1"/>
    <col min="11803" max="11803" width="21.7109375" customWidth="1"/>
    <col min="12035" max="12035" width="13.42578125" customWidth="1"/>
    <col min="12036" max="12036" width="13.28515625" customWidth="1"/>
    <col min="12037" max="12037" width="11.85546875" customWidth="1"/>
    <col min="12040" max="12040" width="13.85546875" customWidth="1"/>
    <col min="12049" max="12049" width="13.28515625" customWidth="1"/>
    <col min="12059" max="12059" width="21.7109375" customWidth="1"/>
    <col min="12291" max="12291" width="13.42578125" customWidth="1"/>
    <col min="12292" max="12292" width="13.28515625" customWidth="1"/>
    <col min="12293" max="12293" width="11.85546875" customWidth="1"/>
    <col min="12296" max="12296" width="13.85546875" customWidth="1"/>
    <col min="12305" max="12305" width="13.28515625" customWidth="1"/>
    <col min="12315" max="12315" width="21.7109375" customWidth="1"/>
    <col min="12547" max="12547" width="13.42578125" customWidth="1"/>
    <col min="12548" max="12548" width="13.28515625" customWidth="1"/>
    <col min="12549" max="12549" width="11.85546875" customWidth="1"/>
    <col min="12552" max="12552" width="13.85546875" customWidth="1"/>
    <col min="12561" max="12561" width="13.28515625" customWidth="1"/>
    <col min="12571" max="12571" width="21.7109375" customWidth="1"/>
    <col min="12803" max="12803" width="13.42578125" customWidth="1"/>
    <col min="12804" max="12804" width="13.28515625" customWidth="1"/>
    <col min="12805" max="12805" width="11.85546875" customWidth="1"/>
    <col min="12808" max="12808" width="13.85546875" customWidth="1"/>
    <col min="12817" max="12817" width="13.28515625" customWidth="1"/>
    <col min="12827" max="12827" width="21.7109375" customWidth="1"/>
    <col min="13059" max="13059" width="13.42578125" customWidth="1"/>
    <col min="13060" max="13060" width="13.28515625" customWidth="1"/>
    <col min="13061" max="13061" width="11.85546875" customWidth="1"/>
    <col min="13064" max="13064" width="13.85546875" customWidth="1"/>
    <col min="13073" max="13073" width="13.28515625" customWidth="1"/>
    <col min="13083" max="13083" width="21.7109375" customWidth="1"/>
    <col min="13315" max="13315" width="13.42578125" customWidth="1"/>
    <col min="13316" max="13316" width="13.28515625" customWidth="1"/>
    <col min="13317" max="13317" width="11.85546875" customWidth="1"/>
    <col min="13320" max="13320" width="13.85546875" customWidth="1"/>
    <col min="13329" max="13329" width="13.28515625" customWidth="1"/>
    <col min="13339" max="13339" width="21.7109375" customWidth="1"/>
    <col min="13571" max="13571" width="13.42578125" customWidth="1"/>
    <col min="13572" max="13572" width="13.28515625" customWidth="1"/>
    <col min="13573" max="13573" width="11.85546875" customWidth="1"/>
    <col min="13576" max="13576" width="13.85546875" customWidth="1"/>
    <col min="13585" max="13585" width="13.28515625" customWidth="1"/>
    <col min="13595" max="13595" width="21.7109375" customWidth="1"/>
    <col min="13827" max="13827" width="13.42578125" customWidth="1"/>
    <col min="13828" max="13828" width="13.28515625" customWidth="1"/>
    <col min="13829" max="13829" width="11.85546875" customWidth="1"/>
    <col min="13832" max="13832" width="13.85546875" customWidth="1"/>
    <col min="13841" max="13841" width="13.28515625" customWidth="1"/>
    <col min="13851" max="13851" width="21.7109375" customWidth="1"/>
    <col min="14083" max="14083" width="13.42578125" customWidth="1"/>
    <col min="14084" max="14084" width="13.28515625" customWidth="1"/>
    <col min="14085" max="14085" width="11.85546875" customWidth="1"/>
    <col min="14088" max="14088" width="13.85546875" customWidth="1"/>
    <col min="14097" max="14097" width="13.28515625" customWidth="1"/>
    <col min="14107" max="14107" width="21.7109375" customWidth="1"/>
    <col min="14339" max="14339" width="13.42578125" customWidth="1"/>
    <col min="14340" max="14340" width="13.28515625" customWidth="1"/>
    <col min="14341" max="14341" width="11.85546875" customWidth="1"/>
    <col min="14344" max="14344" width="13.85546875" customWidth="1"/>
    <col min="14353" max="14353" width="13.28515625" customWidth="1"/>
    <col min="14363" max="14363" width="21.7109375" customWidth="1"/>
    <col min="14595" max="14595" width="13.42578125" customWidth="1"/>
    <col min="14596" max="14596" width="13.28515625" customWidth="1"/>
    <col min="14597" max="14597" width="11.85546875" customWidth="1"/>
    <col min="14600" max="14600" width="13.85546875" customWidth="1"/>
    <col min="14609" max="14609" width="13.28515625" customWidth="1"/>
    <col min="14619" max="14619" width="21.7109375" customWidth="1"/>
    <col min="14851" max="14851" width="13.42578125" customWidth="1"/>
    <col min="14852" max="14852" width="13.28515625" customWidth="1"/>
    <col min="14853" max="14853" width="11.85546875" customWidth="1"/>
    <col min="14856" max="14856" width="13.85546875" customWidth="1"/>
    <col min="14865" max="14865" width="13.28515625" customWidth="1"/>
    <col min="14875" max="14875" width="21.7109375" customWidth="1"/>
    <col min="15107" max="15107" width="13.42578125" customWidth="1"/>
    <col min="15108" max="15108" width="13.28515625" customWidth="1"/>
    <col min="15109" max="15109" width="11.85546875" customWidth="1"/>
    <col min="15112" max="15112" width="13.85546875" customWidth="1"/>
    <col min="15121" max="15121" width="13.28515625" customWidth="1"/>
    <col min="15131" max="15131" width="21.7109375" customWidth="1"/>
    <col min="15363" max="15363" width="13.42578125" customWidth="1"/>
    <col min="15364" max="15364" width="13.28515625" customWidth="1"/>
    <col min="15365" max="15365" width="11.85546875" customWidth="1"/>
    <col min="15368" max="15368" width="13.85546875" customWidth="1"/>
    <col min="15377" max="15377" width="13.28515625" customWidth="1"/>
    <col min="15387" max="15387" width="21.7109375" customWidth="1"/>
    <col min="15619" max="15619" width="13.42578125" customWidth="1"/>
    <col min="15620" max="15620" width="13.28515625" customWidth="1"/>
    <col min="15621" max="15621" width="11.85546875" customWidth="1"/>
    <col min="15624" max="15624" width="13.85546875" customWidth="1"/>
    <col min="15633" max="15633" width="13.28515625" customWidth="1"/>
    <col min="15643" max="15643" width="21.7109375" customWidth="1"/>
    <col min="15875" max="15875" width="13.42578125" customWidth="1"/>
    <col min="15876" max="15876" width="13.28515625" customWidth="1"/>
    <col min="15877" max="15877" width="11.85546875" customWidth="1"/>
    <col min="15880" max="15880" width="13.85546875" customWidth="1"/>
    <col min="15889" max="15889" width="13.28515625" customWidth="1"/>
    <col min="15899" max="15899" width="21.7109375" customWidth="1"/>
    <col min="16131" max="16131" width="13.42578125" customWidth="1"/>
    <col min="16132" max="16132" width="13.28515625" customWidth="1"/>
    <col min="16133" max="16133" width="11.85546875" customWidth="1"/>
    <col min="16136" max="16136" width="13.85546875" customWidth="1"/>
    <col min="16145" max="16145" width="13.28515625" customWidth="1"/>
    <col min="16155" max="16155" width="21.7109375" customWidth="1"/>
  </cols>
  <sheetData>
    <row r="1" spans="2:28" x14ac:dyDescent="0.25">
      <c r="B1" s="28" t="s">
        <v>56</v>
      </c>
      <c r="C1" s="28" t="s">
        <v>202</v>
      </c>
      <c r="D1" s="28" t="s">
        <v>57</v>
      </c>
      <c r="E1" s="29" t="s">
        <v>58</v>
      </c>
      <c r="F1" s="30" t="s">
        <v>59</v>
      </c>
      <c r="G1" s="28" t="s">
        <v>203</v>
      </c>
      <c r="H1" s="28" t="s">
        <v>47</v>
      </c>
      <c r="I1" s="28" t="s">
        <v>204</v>
      </c>
      <c r="J1" s="31" t="s">
        <v>61</v>
      </c>
      <c r="K1" s="29" t="s">
        <v>62</v>
      </c>
      <c r="L1" s="28" t="s">
        <v>63</v>
      </c>
      <c r="M1" s="28" t="s">
        <v>64</v>
      </c>
      <c r="N1" s="29" t="s">
        <v>65</v>
      </c>
      <c r="O1" s="29" t="s">
        <v>66</v>
      </c>
      <c r="P1" s="28" t="s">
        <v>67</v>
      </c>
      <c r="Q1" s="28" t="s">
        <v>68</v>
      </c>
      <c r="R1" s="28" t="s">
        <v>69</v>
      </c>
      <c r="S1" s="28" t="s">
        <v>70</v>
      </c>
      <c r="T1" s="28" t="s">
        <v>71</v>
      </c>
      <c r="U1" s="28" t="s">
        <v>72</v>
      </c>
      <c r="V1" s="28" t="s">
        <v>73</v>
      </c>
      <c r="W1" s="28" t="s">
        <v>74</v>
      </c>
      <c r="X1" s="29" t="s">
        <v>75</v>
      </c>
      <c r="Y1" s="29" t="s">
        <v>76</v>
      </c>
      <c r="Z1" s="31" t="s">
        <v>77</v>
      </c>
      <c r="AA1" s="32" t="s">
        <v>78</v>
      </c>
      <c r="AB1" s="32" t="s">
        <v>79</v>
      </c>
    </row>
    <row r="2" spans="2:28" s="33" customFormat="1" x14ac:dyDescent="0.25">
      <c r="B2" s="11" t="s">
        <v>80</v>
      </c>
      <c r="C2" s="11" t="s">
        <v>477</v>
      </c>
      <c r="D2" s="11" t="s">
        <v>207</v>
      </c>
      <c r="E2" s="12">
        <v>3</v>
      </c>
      <c r="F2" s="23">
        <v>2960000</v>
      </c>
      <c r="G2" s="11">
        <v>5.2</v>
      </c>
      <c r="H2" s="23">
        <f>F2*G2</f>
        <v>15392000</v>
      </c>
      <c r="I2" s="23">
        <f>AVERAGE(H2:H4)</f>
        <v>16154666.666666666</v>
      </c>
      <c r="J2" s="24">
        <v>148</v>
      </c>
      <c r="K2" s="12">
        <v>1.4690572545586698</v>
      </c>
      <c r="L2" s="11" t="s">
        <v>83</v>
      </c>
      <c r="M2" s="11" t="s">
        <v>84</v>
      </c>
      <c r="N2" s="12">
        <v>0.1</v>
      </c>
      <c r="O2" s="12">
        <v>2</v>
      </c>
      <c r="P2" s="11" t="s">
        <v>85</v>
      </c>
      <c r="Q2" s="11" t="s">
        <v>86</v>
      </c>
      <c r="R2" s="11" t="s">
        <v>391</v>
      </c>
      <c r="S2" s="11" t="s">
        <v>88</v>
      </c>
      <c r="T2" s="11" t="s">
        <v>89</v>
      </c>
      <c r="U2" s="11" t="s">
        <v>90</v>
      </c>
      <c r="V2" s="11" t="s">
        <v>83</v>
      </c>
      <c r="W2" s="11" t="s">
        <v>82</v>
      </c>
      <c r="X2" s="12">
        <v>0</v>
      </c>
      <c r="Y2" s="12">
        <v>0</v>
      </c>
      <c r="Z2" s="24">
        <v>20</v>
      </c>
      <c r="AA2" s="33" t="s">
        <v>478</v>
      </c>
      <c r="AB2" s="33" t="s">
        <v>92</v>
      </c>
    </row>
    <row r="3" spans="2:28" x14ac:dyDescent="0.25">
      <c r="B3" s="11" t="s">
        <v>103</v>
      </c>
      <c r="C3" s="11" t="s">
        <v>479</v>
      </c>
      <c r="D3" s="11" t="s">
        <v>212</v>
      </c>
      <c r="E3" s="12">
        <v>3</v>
      </c>
      <c r="F3" s="23">
        <v>3700000</v>
      </c>
      <c r="G3" s="11">
        <v>5.2</v>
      </c>
      <c r="H3" s="23">
        <f t="shared" ref="H3:H25" si="0">F3*G3</f>
        <v>19240000</v>
      </c>
      <c r="J3" s="24">
        <v>185</v>
      </c>
      <c r="K3" s="12">
        <v>1.4477994908555449</v>
      </c>
      <c r="L3" s="11" t="s">
        <v>83</v>
      </c>
      <c r="M3" s="11" t="s">
        <v>84</v>
      </c>
      <c r="N3" s="12">
        <v>0.1</v>
      </c>
      <c r="O3" s="12">
        <v>2</v>
      </c>
      <c r="P3" s="11" t="s">
        <v>85</v>
      </c>
      <c r="Q3" s="11" t="s">
        <v>86</v>
      </c>
      <c r="R3" s="11" t="s">
        <v>391</v>
      </c>
      <c r="S3" s="11" t="s">
        <v>88</v>
      </c>
      <c r="T3" s="11" t="s">
        <v>89</v>
      </c>
      <c r="U3" s="11" t="s">
        <v>90</v>
      </c>
      <c r="V3" s="11" t="s">
        <v>83</v>
      </c>
      <c r="W3" s="11" t="s">
        <v>82</v>
      </c>
      <c r="X3" s="12">
        <v>0</v>
      </c>
      <c r="Y3" s="12">
        <v>0</v>
      </c>
      <c r="Z3" s="24">
        <v>20</v>
      </c>
      <c r="AA3" t="s">
        <v>480</v>
      </c>
      <c r="AB3" t="s">
        <v>92</v>
      </c>
    </row>
    <row r="4" spans="2:28" x14ac:dyDescent="0.25">
      <c r="B4" s="11" t="s">
        <v>114</v>
      </c>
      <c r="C4" s="11" t="s">
        <v>481</v>
      </c>
      <c r="D4" s="11" t="s">
        <v>215</v>
      </c>
      <c r="E4" s="12">
        <v>3</v>
      </c>
      <c r="F4" s="23">
        <v>2660000</v>
      </c>
      <c r="G4" s="11">
        <v>5.2</v>
      </c>
      <c r="H4" s="23">
        <f t="shared" si="0"/>
        <v>13832000</v>
      </c>
      <c r="J4" s="24">
        <v>133</v>
      </c>
      <c r="K4" s="12">
        <v>1.5221082101538823</v>
      </c>
      <c r="L4" s="11" t="s">
        <v>83</v>
      </c>
      <c r="M4" s="11" t="s">
        <v>84</v>
      </c>
      <c r="N4" s="12">
        <v>0.1</v>
      </c>
      <c r="O4" s="12">
        <v>2</v>
      </c>
      <c r="P4" s="11" t="s">
        <v>85</v>
      </c>
      <c r="Q4" s="11" t="s">
        <v>86</v>
      </c>
      <c r="R4" s="11" t="s">
        <v>391</v>
      </c>
      <c r="S4" s="11" t="s">
        <v>88</v>
      </c>
      <c r="T4" s="11" t="s">
        <v>89</v>
      </c>
      <c r="U4" s="11" t="s">
        <v>90</v>
      </c>
      <c r="V4" s="11" t="s">
        <v>83</v>
      </c>
      <c r="W4" s="11" t="s">
        <v>82</v>
      </c>
      <c r="X4" s="12">
        <v>0</v>
      </c>
      <c r="Y4" s="12">
        <v>0</v>
      </c>
      <c r="Z4" s="24">
        <v>20</v>
      </c>
      <c r="AA4" t="s">
        <v>482</v>
      </c>
      <c r="AB4" t="s">
        <v>92</v>
      </c>
    </row>
    <row r="5" spans="2:28" x14ac:dyDescent="0.25">
      <c r="B5" s="11" t="s">
        <v>125</v>
      </c>
      <c r="C5" s="11" t="s">
        <v>483</v>
      </c>
      <c r="D5" s="11" t="s">
        <v>218</v>
      </c>
      <c r="E5" s="12">
        <v>2</v>
      </c>
      <c r="F5" s="23">
        <v>2860000</v>
      </c>
      <c r="G5" s="11">
        <v>5.9</v>
      </c>
      <c r="H5" s="23">
        <f t="shared" si="0"/>
        <v>16874000</v>
      </c>
      <c r="I5" s="23">
        <f>AVERAGE(H5:H7)</f>
        <v>11072333.333333334</v>
      </c>
      <c r="J5" s="24">
        <v>201</v>
      </c>
      <c r="K5" s="12">
        <v>0.6747077849673444</v>
      </c>
      <c r="L5" s="11" t="s">
        <v>83</v>
      </c>
      <c r="M5" s="11" t="s">
        <v>84</v>
      </c>
      <c r="N5" s="12">
        <v>0.1</v>
      </c>
      <c r="O5" s="12">
        <v>2</v>
      </c>
      <c r="P5" s="11" t="s">
        <v>85</v>
      </c>
      <c r="Q5" s="11" t="s">
        <v>86</v>
      </c>
      <c r="R5" s="11" t="s">
        <v>391</v>
      </c>
      <c r="S5" s="11" t="s">
        <v>88</v>
      </c>
      <c r="T5" s="11" t="s">
        <v>89</v>
      </c>
      <c r="U5" s="11" t="s">
        <v>90</v>
      </c>
      <c r="V5" s="11" t="s">
        <v>83</v>
      </c>
      <c r="W5" s="11" t="s">
        <v>82</v>
      </c>
      <c r="X5" s="12">
        <v>0</v>
      </c>
      <c r="Y5" s="12">
        <v>0</v>
      </c>
      <c r="Z5" s="24">
        <v>20</v>
      </c>
      <c r="AA5" t="s">
        <v>484</v>
      </c>
      <c r="AB5" t="s">
        <v>92</v>
      </c>
    </row>
    <row r="6" spans="2:28" x14ac:dyDescent="0.25">
      <c r="B6" s="11" t="s">
        <v>136</v>
      </c>
      <c r="C6" s="11" t="s">
        <v>485</v>
      </c>
      <c r="D6" s="11" t="s">
        <v>221</v>
      </c>
      <c r="E6" s="12">
        <v>2</v>
      </c>
      <c r="F6" s="23">
        <v>1420000</v>
      </c>
      <c r="G6" s="11">
        <v>5.9</v>
      </c>
      <c r="H6" s="23">
        <f t="shared" si="0"/>
        <v>8378000.0000000009</v>
      </c>
      <c r="J6" s="24">
        <v>230</v>
      </c>
      <c r="K6" s="12">
        <v>1.138974720006297</v>
      </c>
      <c r="L6" s="11" t="s">
        <v>83</v>
      </c>
      <c r="M6" s="11" t="s">
        <v>84</v>
      </c>
      <c r="N6" s="12">
        <v>0.1</v>
      </c>
      <c r="O6" s="12">
        <v>2</v>
      </c>
      <c r="P6" s="11" t="s">
        <v>85</v>
      </c>
      <c r="Q6" s="11" t="s">
        <v>86</v>
      </c>
      <c r="R6" s="11" t="s">
        <v>391</v>
      </c>
      <c r="S6" s="11" t="s">
        <v>88</v>
      </c>
      <c r="T6" s="11" t="s">
        <v>89</v>
      </c>
      <c r="U6" s="11" t="s">
        <v>90</v>
      </c>
      <c r="V6" s="11" t="s">
        <v>83</v>
      </c>
      <c r="W6" s="11" t="s">
        <v>82</v>
      </c>
      <c r="X6" s="12">
        <v>0</v>
      </c>
      <c r="Y6" s="12">
        <v>0</v>
      </c>
      <c r="Z6" s="24">
        <v>20</v>
      </c>
      <c r="AA6" t="s">
        <v>486</v>
      </c>
      <c r="AB6" t="s">
        <v>92</v>
      </c>
    </row>
    <row r="7" spans="2:28" x14ac:dyDescent="0.25">
      <c r="B7" s="11" t="s">
        <v>147</v>
      </c>
      <c r="C7" s="11" t="s">
        <v>487</v>
      </c>
      <c r="D7" s="11" t="s">
        <v>224</v>
      </c>
      <c r="E7" s="12">
        <v>2</v>
      </c>
      <c r="F7" s="23">
        <v>1350000</v>
      </c>
      <c r="G7" s="11">
        <v>5.9</v>
      </c>
      <c r="H7" s="23">
        <f t="shared" si="0"/>
        <v>7965000.0000000009</v>
      </c>
      <c r="J7" s="24">
        <v>148</v>
      </c>
      <c r="K7" s="12">
        <v>1.19284303885809</v>
      </c>
      <c r="L7" s="11" t="s">
        <v>83</v>
      </c>
      <c r="M7" s="11" t="s">
        <v>84</v>
      </c>
      <c r="N7" s="12">
        <v>0.1</v>
      </c>
      <c r="O7" s="12">
        <v>2</v>
      </c>
      <c r="P7" s="11" t="s">
        <v>85</v>
      </c>
      <c r="Q7" s="11" t="s">
        <v>86</v>
      </c>
      <c r="R7" s="11" t="s">
        <v>391</v>
      </c>
      <c r="S7" s="11" t="s">
        <v>88</v>
      </c>
      <c r="T7" s="11" t="s">
        <v>89</v>
      </c>
      <c r="U7" s="11" t="s">
        <v>90</v>
      </c>
      <c r="V7" s="11" t="s">
        <v>83</v>
      </c>
      <c r="W7" s="11" t="s">
        <v>82</v>
      </c>
      <c r="X7" s="12">
        <v>0</v>
      </c>
      <c r="Y7" s="12">
        <v>0</v>
      </c>
      <c r="Z7" s="24">
        <v>20</v>
      </c>
      <c r="AA7" t="s">
        <v>488</v>
      </c>
      <c r="AB7" t="s">
        <v>92</v>
      </c>
    </row>
    <row r="8" spans="2:28" x14ac:dyDescent="0.25">
      <c r="B8" s="11" t="s">
        <v>158</v>
      </c>
      <c r="C8" s="11" t="s">
        <v>489</v>
      </c>
      <c r="D8" s="11" t="s">
        <v>227</v>
      </c>
      <c r="E8" s="12">
        <v>2</v>
      </c>
      <c r="F8" s="23">
        <v>3630000</v>
      </c>
      <c r="G8" s="11">
        <v>5</v>
      </c>
      <c r="H8" s="23">
        <f t="shared" si="0"/>
        <v>18150000</v>
      </c>
      <c r="I8" s="23">
        <f>AVERAGE(H8:H10)</f>
        <v>16150000</v>
      </c>
      <c r="J8" s="24">
        <v>225</v>
      </c>
      <c r="K8" s="12">
        <v>0.76428763042655723</v>
      </c>
      <c r="L8" s="11" t="s">
        <v>83</v>
      </c>
      <c r="M8" s="11" t="s">
        <v>84</v>
      </c>
      <c r="N8" s="12">
        <v>0.1</v>
      </c>
      <c r="O8" s="12">
        <v>2</v>
      </c>
      <c r="P8" s="11" t="s">
        <v>85</v>
      </c>
      <c r="Q8" s="11" t="s">
        <v>86</v>
      </c>
      <c r="R8" s="11" t="s">
        <v>391</v>
      </c>
      <c r="S8" s="11" t="s">
        <v>88</v>
      </c>
      <c r="T8" s="11" t="s">
        <v>89</v>
      </c>
      <c r="U8" s="11" t="s">
        <v>90</v>
      </c>
      <c r="V8" s="11" t="s">
        <v>83</v>
      </c>
      <c r="W8" s="11" t="s">
        <v>82</v>
      </c>
      <c r="X8" s="12">
        <v>0</v>
      </c>
      <c r="Y8" s="12">
        <v>0</v>
      </c>
      <c r="Z8" s="24">
        <v>20</v>
      </c>
      <c r="AA8" t="s">
        <v>490</v>
      </c>
      <c r="AB8" t="s">
        <v>92</v>
      </c>
    </row>
    <row r="9" spans="2:28" x14ac:dyDescent="0.25">
      <c r="B9" s="11" t="s">
        <v>169</v>
      </c>
      <c r="C9" s="11" t="s">
        <v>491</v>
      </c>
      <c r="D9" s="11" t="s">
        <v>230</v>
      </c>
      <c r="E9" s="12">
        <v>2</v>
      </c>
      <c r="F9" s="23">
        <v>3410000</v>
      </c>
      <c r="G9" s="11">
        <v>5</v>
      </c>
      <c r="H9" s="23">
        <f t="shared" si="0"/>
        <v>17050000</v>
      </c>
      <c r="J9" s="24">
        <v>137</v>
      </c>
      <c r="K9" s="12">
        <v>0.68874022973312399</v>
      </c>
      <c r="L9" s="11" t="s">
        <v>83</v>
      </c>
      <c r="M9" s="11" t="s">
        <v>84</v>
      </c>
      <c r="N9" s="12">
        <v>0.1</v>
      </c>
      <c r="O9" s="12">
        <v>2</v>
      </c>
      <c r="P9" s="11" t="s">
        <v>85</v>
      </c>
      <c r="Q9" s="11" t="s">
        <v>86</v>
      </c>
      <c r="R9" s="11" t="s">
        <v>391</v>
      </c>
      <c r="S9" s="11" t="s">
        <v>88</v>
      </c>
      <c r="T9" s="11" t="s">
        <v>89</v>
      </c>
      <c r="U9" s="11" t="s">
        <v>90</v>
      </c>
      <c r="V9" s="11" t="s">
        <v>83</v>
      </c>
      <c r="W9" s="11" t="s">
        <v>82</v>
      </c>
      <c r="X9" s="12">
        <v>0</v>
      </c>
      <c r="Y9" s="12">
        <v>0</v>
      </c>
      <c r="Z9" s="24">
        <v>20</v>
      </c>
      <c r="AA9" t="s">
        <v>492</v>
      </c>
      <c r="AB9" t="s">
        <v>92</v>
      </c>
    </row>
    <row r="10" spans="2:28" x14ac:dyDescent="0.25">
      <c r="B10" s="11" t="s">
        <v>180</v>
      </c>
      <c r="C10" s="11" t="s">
        <v>493</v>
      </c>
      <c r="D10" s="11" t="s">
        <v>233</v>
      </c>
      <c r="E10" s="12">
        <v>2</v>
      </c>
      <c r="F10" s="23">
        <v>2650000</v>
      </c>
      <c r="G10" s="11">
        <v>5</v>
      </c>
      <c r="H10" s="23">
        <f t="shared" si="0"/>
        <v>13250000</v>
      </c>
      <c r="J10" s="24">
        <v>227</v>
      </c>
      <c r="K10" s="12">
        <v>0.67414162834654912</v>
      </c>
      <c r="L10" s="11" t="s">
        <v>83</v>
      </c>
      <c r="M10" s="11" t="s">
        <v>84</v>
      </c>
      <c r="N10" s="12">
        <v>0.1</v>
      </c>
      <c r="O10" s="12">
        <v>2</v>
      </c>
      <c r="P10" s="11" t="s">
        <v>85</v>
      </c>
      <c r="Q10" s="11" t="s">
        <v>86</v>
      </c>
      <c r="R10" s="11" t="s">
        <v>391</v>
      </c>
      <c r="S10" s="11" t="s">
        <v>88</v>
      </c>
      <c r="T10" s="11" t="s">
        <v>89</v>
      </c>
      <c r="U10" s="11" t="s">
        <v>90</v>
      </c>
      <c r="V10" s="11" t="s">
        <v>83</v>
      </c>
      <c r="W10" s="11" t="s">
        <v>82</v>
      </c>
      <c r="X10" s="12">
        <v>0</v>
      </c>
      <c r="Y10" s="12">
        <v>0</v>
      </c>
      <c r="Z10" s="24">
        <v>20</v>
      </c>
      <c r="AA10" t="s">
        <v>494</v>
      </c>
      <c r="AB10" t="s">
        <v>92</v>
      </c>
    </row>
    <row r="11" spans="2:28" x14ac:dyDescent="0.25">
      <c r="B11" s="11" t="s">
        <v>191</v>
      </c>
      <c r="C11" s="11" t="s">
        <v>495</v>
      </c>
      <c r="D11" s="11" t="s">
        <v>236</v>
      </c>
      <c r="E11" s="12">
        <v>2</v>
      </c>
      <c r="F11" s="23">
        <v>392000</v>
      </c>
      <c r="G11" s="11">
        <v>5.0999999999999996</v>
      </c>
      <c r="H11" s="23">
        <f t="shared" si="0"/>
        <v>1999199.9999999998</v>
      </c>
      <c r="I11" s="23">
        <f>AVERAGE(H11:H13)</f>
        <v>2040000</v>
      </c>
      <c r="J11" s="24">
        <v>196</v>
      </c>
      <c r="K11" s="12">
        <v>1.4694304857253222</v>
      </c>
      <c r="L11" s="11" t="s">
        <v>83</v>
      </c>
      <c r="M11" s="11" t="s">
        <v>84</v>
      </c>
      <c r="N11" s="12">
        <v>0.1</v>
      </c>
      <c r="O11" s="12">
        <v>2</v>
      </c>
      <c r="P11" s="11" t="s">
        <v>85</v>
      </c>
      <c r="Q11" s="11" t="s">
        <v>86</v>
      </c>
      <c r="R11" s="11" t="s">
        <v>391</v>
      </c>
      <c r="S11" s="11" t="s">
        <v>88</v>
      </c>
      <c r="T11" s="11" t="s">
        <v>89</v>
      </c>
      <c r="U11" s="11" t="s">
        <v>90</v>
      </c>
      <c r="V11" s="11" t="s">
        <v>83</v>
      </c>
      <c r="W11" s="11" t="s">
        <v>82</v>
      </c>
      <c r="X11" s="12">
        <v>0</v>
      </c>
      <c r="Y11" s="12">
        <v>0</v>
      </c>
      <c r="Z11" s="24">
        <v>20</v>
      </c>
      <c r="AA11" t="s">
        <v>496</v>
      </c>
      <c r="AB11" t="s">
        <v>92</v>
      </c>
    </row>
    <row r="12" spans="2:28" x14ac:dyDescent="0.25">
      <c r="B12" s="11" t="s">
        <v>238</v>
      </c>
      <c r="C12" s="11" t="s">
        <v>497</v>
      </c>
      <c r="D12" s="11" t="s">
        <v>240</v>
      </c>
      <c r="E12" s="12">
        <v>2</v>
      </c>
      <c r="F12" s="23">
        <v>370000</v>
      </c>
      <c r="G12" s="11">
        <v>5.0999999999999996</v>
      </c>
      <c r="H12" s="23">
        <f t="shared" si="0"/>
        <v>1886999.9999999998</v>
      </c>
      <c r="J12" s="24">
        <v>185</v>
      </c>
      <c r="K12" s="12">
        <v>1.4759310987310161</v>
      </c>
      <c r="L12" s="11" t="s">
        <v>83</v>
      </c>
      <c r="M12" s="11" t="s">
        <v>84</v>
      </c>
      <c r="N12" s="12">
        <v>0.1</v>
      </c>
      <c r="O12" s="12">
        <v>2</v>
      </c>
      <c r="P12" s="11" t="s">
        <v>85</v>
      </c>
      <c r="Q12" s="11" t="s">
        <v>86</v>
      </c>
      <c r="R12" s="11" t="s">
        <v>391</v>
      </c>
      <c r="S12" s="11" t="s">
        <v>88</v>
      </c>
      <c r="T12" s="11" t="s">
        <v>89</v>
      </c>
      <c r="U12" s="11" t="s">
        <v>90</v>
      </c>
      <c r="V12" s="11" t="s">
        <v>83</v>
      </c>
      <c r="W12" s="11" t="s">
        <v>82</v>
      </c>
      <c r="X12" s="12">
        <v>0</v>
      </c>
      <c r="Y12" s="12">
        <v>0</v>
      </c>
      <c r="Z12" s="24">
        <v>20</v>
      </c>
      <c r="AA12" t="s">
        <v>498</v>
      </c>
      <c r="AB12" t="s">
        <v>92</v>
      </c>
    </row>
    <row r="13" spans="2:28" x14ac:dyDescent="0.25">
      <c r="B13" s="11" t="s">
        <v>242</v>
      </c>
      <c r="C13" s="11" t="s">
        <v>499</v>
      </c>
      <c r="D13" s="11" t="s">
        <v>244</v>
      </c>
      <c r="E13" s="12">
        <v>2</v>
      </c>
      <c r="F13" s="23">
        <v>438000</v>
      </c>
      <c r="G13" s="11">
        <v>5.0999999999999996</v>
      </c>
      <c r="H13" s="23">
        <f t="shared" si="0"/>
        <v>2233800</v>
      </c>
      <c r="J13" s="24">
        <v>219</v>
      </c>
      <c r="K13" s="12">
        <v>1.3901004927798974</v>
      </c>
      <c r="L13" s="11" t="s">
        <v>83</v>
      </c>
      <c r="M13" s="11" t="s">
        <v>84</v>
      </c>
      <c r="N13" s="12">
        <v>0.1</v>
      </c>
      <c r="O13" s="12">
        <v>2</v>
      </c>
      <c r="P13" s="11" t="s">
        <v>85</v>
      </c>
      <c r="Q13" s="11" t="s">
        <v>86</v>
      </c>
      <c r="R13" s="11" t="s">
        <v>391</v>
      </c>
      <c r="S13" s="11" t="s">
        <v>88</v>
      </c>
      <c r="T13" s="11" t="s">
        <v>89</v>
      </c>
      <c r="U13" s="11" t="s">
        <v>90</v>
      </c>
      <c r="V13" s="11" t="s">
        <v>83</v>
      </c>
      <c r="W13" s="11" t="s">
        <v>82</v>
      </c>
      <c r="X13" s="12">
        <v>0</v>
      </c>
      <c r="Y13" s="12">
        <v>0</v>
      </c>
      <c r="Z13" s="24">
        <v>20</v>
      </c>
      <c r="AA13" t="s">
        <v>500</v>
      </c>
      <c r="AB13" t="s">
        <v>92</v>
      </c>
    </row>
    <row r="14" spans="2:28" x14ac:dyDescent="0.25">
      <c r="B14" s="11" t="s">
        <v>247</v>
      </c>
      <c r="C14" s="11" t="s">
        <v>501</v>
      </c>
      <c r="D14" s="11" t="s">
        <v>416</v>
      </c>
      <c r="E14" s="12">
        <v>0</v>
      </c>
      <c r="F14" s="23">
        <v>9240</v>
      </c>
      <c r="G14" s="11">
        <v>6.6</v>
      </c>
      <c r="H14" s="23">
        <f t="shared" si="0"/>
        <v>60984</v>
      </c>
      <c r="I14" s="23">
        <f>AVERAGE(H14:H16)</f>
        <v>60764</v>
      </c>
      <c r="J14" s="24">
        <v>220</v>
      </c>
      <c r="K14" s="12">
        <v>1.205166098493603</v>
      </c>
      <c r="L14" s="11" t="s">
        <v>83</v>
      </c>
      <c r="M14" s="11" t="s">
        <v>84</v>
      </c>
      <c r="N14" s="12">
        <v>0.1</v>
      </c>
      <c r="O14" s="12">
        <v>2</v>
      </c>
      <c r="P14" s="11" t="s">
        <v>85</v>
      </c>
      <c r="Q14" s="11" t="s">
        <v>86</v>
      </c>
      <c r="R14" s="11" t="s">
        <v>391</v>
      </c>
      <c r="S14" s="11" t="s">
        <v>88</v>
      </c>
      <c r="T14" s="11" t="s">
        <v>89</v>
      </c>
      <c r="U14" s="11" t="s">
        <v>90</v>
      </c>
      <c r="V14" s="11" t="s">
        <v>83</v>
      </c>
      <c r="W14" s="11" t="s">
        <v>82</v>
      </c>
      <c r="X14" s="12">
        <v>0</v>
      </c>
      <c r="Y14" s="12">
        <v>0</v>
      </c>
      <c r="Z14" s="24">
        <v>20</v>
      </c>
      <c r="AA14" t="s">
        <v>502</v>
      </c>
      <c r="AB14" t="s">
        <v>92</v>
      </c>
    </row>
    <row r="15" spans="2:28" x14ac:dyDescent="0.25">
      <c r="B15" s="11" t="s">
        <v>260</v>
      </c>
      <c r="C15" s="11" t="s">
        <v>503</v>
      </c>
      <c r="D15" s="11" t="s">
        <v>419</v>
      </c>
      <c r="E15" s="12">
        <v>0</v>
      </c>
      <c r="F15" s="23">
        <v>8590</v>
      </c>
      <c r="G15" s="11">
        <v>6.6</v>
      </c>
      <c r="H15" s="23">
        <f t="shared" si="0"/>
        <v>56694</v>
      </c>
      <c r="J15" s="24">
        <v>223</v>
      </c>
      <c r="K15" s="12">
        <v>1.252610197004578</v>
      </c>
      <c r="L15" s="11" t="s">
        <v>83</v>
      </c>
      <c r="M15" s="11" t="s">
        <v>84</v>
      </c>
      <c r="N15" s="12">
        <v>0.1</v>
      </c>
      <c r="O15" s="12">
        <v>2</v>
      </c>
      <c r="P15" s="11" t="s">
        <v>85</v>
      </c>
      <c r="Q15" s="11" t="s">
        <v>86</v>
      </c>
      <c r="R15" s="11" t="s">
        <v>391</v>
      </c>
      <c r="S15" s="11" t="s">
        <v>88</v>
      </c>
      <c r="T15" s="11" t="s">
        <v>89</v>
      </c>
      <c r="U15" s="11" t="s">
        <v>90</v>
      </c>
      <c r="V15" s="11" t="s">
        <v>83</v>
      </c>
      <c r="W15" s="11" t="s">
        <v>82</v>
      </c>
      <c r="X15" s="12">
        <v>0</v>
      </c>
      <c r="Y15" s="12">
        <v>0</v>
      </c>
      <c r="Z15" s="24">
        <v>20</v>
      </c>
      <c r="AA15" t="s">
        <v>504</v>
      </c>
      <c r="AB15" t="s">
        <v>92</v>
      </c>
    </row>
    <row r="16" spans="2:28" x14ac:dyDescent="0.25">
      <c r="B16" s="11" t="s">
        <v>421</v>
      </c>
      <c r="C16" s="11" t="s">
        <v>505</v>
      </c>
      <c r="D16" s="11" t="s">
        <v>423</v>
      </c>
      <c r="E16" s="12">
        <v>0</v>
      </c>
      <c r="F16" s="23">
        <v>9790</v>
      </c>
      <c r="G16" s="11">
        <v>6.6</v>
      </c>
      <c r="H16" s="23">
        <f t="shared" si="0"/>
        <v>64614</v>
      </c>
      <c r="J16" s="24">
        <v>220</v>
      </c>
      <c r="K16" s="12">
        <v>1.2807488155008402</v>
      </c>
      <c r="L16" s="11" t="s">
        <v>83</v>
      </c>
      <c r="M16" s="11" t="s">
        <v>84</v>
      </c>
      <c r="N16" s="12">
        <v>0.1</v>
      </c>
      <c r="O16" s="12">
        <v>2</v>
      </c>
      <c r="P16" s="11" t="s">
        <v>85</v>
      </c>
      <c r="Q16" s="11" t="s">
        <v>86</v>
      </c>
      <c r="R16" s="11" t="s">
        <v>391</v>
      </c>
      <c r="S16" s="11" t="s">
        <v>88</v>
      </c>
      <c r="T16" s="11" t="s">
        <v>89</v>
      </c>
      <c r="U16" s="11" t="s">
        <v>90</v>
      </c>
      <c r="V16" s="11" t="s">
        <v>83</v>
      </c>
      <c r="W16" s="11" t="s">
        <v>82</v>
      </c>
      <c r="X16" s="12">
        <v>0</v>
      </c>
      <c r="Y16" s="12">
        <v>0</v>
      </c>
      <c r="Z16" s="24">
        <v>20</v>
      </c>
      <c r="AA16" t="s">
        <v>506</v>
      </c>
      <c r="AB16" t="s">
        <v>92</v>
      </c>
    </row>
    <row r="17" spans="2:28" x14ac:dyDescent="0.25">
      <c r="B17" s="11" t="s">
        <v>425</v>
      </c>
      <c r="C17" s="11" t="s">
        <v>507</v>
      </c>
      <c r="D17" s="11" t="s">
        <v>262</v>
      </c>
      <c r="E17" s="12">
        <v>0</v>
      </c>
      <c r="F17" s="23">
        <v>1220</v>
      </c>
      <c r="G17" s="11">
        <v>6.6</v>
      </c>
      <c r="H17" s="23">
        <f t="shared" si="0"/>
        <v>8052</v>
      </c>
      <c r="I17" s="23">
        <f>AVERAGE(H17:H19)</f>
        <v>9064</v>
      </c>
      <c r="J17" s="24">
        <v>61</v>
      </c>
      <c r="K17" s="12">
        <v>1.5643215634834935</v>
      </c>
      <c r="L17" s="11" t="s">
        <v>83</v>
      </c>
      <c r="M17" s="11" t="s">
        <v>84</v>
      </c>
      <c r="N17" s="12">
        <v>0.1</v>
      </c>
      <c r="O17" s="12">
        <v>2</v>
      </c>
      <c r="P17" s="11" t="s">
        <v>85</v>
      </c>
      <c r="Q17" s="11" t="s">
        <v>86</v>
      </c>
      <c r="R17" s="11" t="s">
        <v>391</v>
      </c>
      <c r="S17" s="11" t="s">
        <v>88</v>
      </c>
      <c r="T17" s="11" t="s">
        <v>89</v>
      </c>
      <c r="U17" s="11" t="s">
        <v>90</v>
      </c>
      <c r="V17" s="11" t="s">
        <v>83</v>
      </c>
      <c r="W17" s="11" t="s">
        <v>82</v>
      </c>
      <c r="X17" s="12">
        <v>0</v>
      </c>
      <c r="Y17" s="12">
        <v>0</v>
      </c>
      <c r="Z17" s="24">
        <v>20</v>
      </c>
      <c r="AA17" t="s">
        <v>508</v>
      </c>
      <c r="AB17" t="s">
        <v>92</v>
      </c>
    </row>
    <row r="18" spans="2:28" x14ac:dyDescent="0.25">
      <c r="B18" s="11" t="s">
        <v>428</v>
      </c>
      <c r="C18" s="11" t="s">
        <v>509</v>
      </c>
      <c r="D18" s="11" t="s">
        <v>266</v>
      </c>
      <c r="E18" s="12">
        <v>0</v>
      </c>
      <c r="F18" s="23">
        <v>1640</v>
      </c>
      <c r="G18" s="11">
        <v>6.6</v>
      </c>
      <c r="H18" s="23">
        <f t="shared" si="0"/>
        <v>10824</v>
      </c>
      <c r="J18" s="24">
        <v>82</v>
      </c>
      <c r="K18" s="12">
        <v>1.5220688165625655</v>
      </c>
      <c r="L18" s="11" t="s">
        <v>83</v>
      </c>
      <c r="M18" s="11" t="s">
        <v>84</v>
      </c>
      <c r="N18" s="12">
        <v>0.1</v>
      </c>
      <c r="O18" s="12">
        <v>2</v>
      </c>
      <c r="P18" s="11" t="s">
        <v>85</v>
      </c>
      <c r="Q18" s="11" t="s">
        <v>86</v>
      </c>
      <c r="R18" s="11" t="s">
        <v>391</v>
      </c>
      <c r="S18" s="11" t="s">
        <v>88</v>
      </c>
      <c r="T18" s="11" t="s">
        <v>89</v>
      </c>
      <c r="U18" s="11" t="s">
        <v>90</v>
      </c>
      <c r="V18" s="11" t="s">
        <v>83</v>
      </c>
      <c r="W18" s="11" t="s">
        <v>82</v>
      </c>
      <c r="X18" s="12">
        <v>0</v>
      </c>
      <c r="Y18" s="12">
        <v>0</v>
      </c>
      <c r="Z18" s="24">
        <v>20</v>
      </c>
      <c r="AA18" t="s">
        <v>510</v>
      </c>
      <c r="AB18" t="s">
        <v>92</v>
      </c>
    </row>
    <row r="19" spans="2:28" x14ac:dyDescent="0.25">
      <c r="B19" s="11" t="s">
        <v>431</v>
      </c>
      <c r="C19" s="11" t="s">
        <v>511</v>
      </c>
      <c r="D19" s="11" t="s">
        <v>270</v>
      </c>
      <c r="E19" s="12">
        <v>0</v>
      </c>
      <c r="F19" s="23">
        <v>1260</v>
      </c>
      <c r="G19" s="11">
        <v>6.6</v>
      </c>
      <c r="H19" s="23">
        <f t="shared" si="0"/>
        <v>8316</v>
      </c>
      <c r="J19" s="24">
        <v>63</v>
      </c>
      <c r="K19" s="12">
        <v>1.458797452787854</v>
      </c>
      <c r="L19" s="11" t="s">
        <v>83</v>
      </c>
      <c r="M19" s="11" t="s">
        <v>84</v>
      </c>
      <c r="N19" s="12">
        <v>0.1</v>
      </c>
      <c r="O19" s="12">
        <v>2</v>
      </c>
      <c r="P19" s="11" t="s">
        <v>85</v>
      </c>
      <c r="Q19" s="11" t="s">
        <v>86</v>
      </c>
      <c r="R19" s="11" t="s">
        <v>391</v>
      </c>
      <c r="S19" s="11" t="s">
        <v>88</v>
      </c>
      <c r="T19" s="11" t="s">
        <v>89</v>
      </c>
      <c r="U19" s="11" t="s">
        <v>90</v>
      </c>
      <c r="V19" s="11" t="s">
        <v>83</v>
      </c>
      <c r="W19" s="11" t="s">
        <v>82</v>
      </c>
      <c r="X19" s="12">
        <v>0</v>
      </c>
      <c r="Y19" s="12">
        <v>0</v>
      </c>
      <c r="Z19" s="24">
        <v>20</v>
      </c>
      <c r="AA19" t="s">
        <v>512</v>
      </c>
      <c r="AB19" t="s">
        <v>92</v>
      </c>
    </row>
    <row r="20" spans="2:28" x14ac:dyDescent="0.25">
      <c r="B20" s="11" t="s">
        <v>434</v>
      </c>
      <c r="C20" s="11" t="s">
        <v>513</v>
      </c>
      <c r="D20" s="11" t="s">
        <v>436</v>
      </c>
      <c r="E20" s="12">
        <v>0</v>
      </c>
      <c r="F20" s="23">
        <v>53100</v>
      </c>
      <c r="G20" s="11">
        <v>5.2</v>
      </c>
      <c r="H20" s="23">
        <f t="shared" si="0"/>
        <v>276120</v>
      </c>
      <c r="I20" s="23">
        <f>AVERAGE(H20:H22)</f>
        <v>279066.66666666669</v>
      </c>
      <c r="J20" s="24">
        <v>202</v>
      </c>
      <c r="K20" s="12">
        <v>0.56711309910888741</v>
      </c>
      <c r="L20" s="11" t="s">
        <v>83</v>
      </c>
      <c r="M20" s="11" t="s">
        <v>84</v>
      </c>
      <c r="N20" s="12">
        <v>0.1</v>
      </c>
      <c r="O20" s="12">
        <v>2</v>
      </c>
      <c r="P20" s="11" t="s">
        <v>85</v>
      </c>
      <c r="Q20" s="11" t="s">
        <v>86</v>
      </c>
      <c r="R20" s="11" t="s">
        <v>391</v>
      </c>
      <c r="S20" s="11" t="s">
        <v>88</v>
      </c>
      <c r="T20" s="11" t="s">
        <v>89</v>
      </c>
      <c r="U20" s="11" t="s">
        <v>90</v>
      </c>
      <c r="V20" s="11" t="s">
        <v>83</v>
      </c>
      <c r="W20" s="11" t="s">
        <v>82</v>
      </c>
      <c r="X20" s="12">
        <v>0</v>
      </c>
      <c r="Y20" s="12">
        <v>0</v>
      </c>
      <c r="Z20" s="24">
        <v>20</v>
      </c>
      <c r="AA20" t="s">
        <v>514</v>
      </c>
      <c r="AB20" t="s">
        <v>92</v>
      </c>
    </row>
    <row r="21" spans="2:28" x14ac:dyDescent="0.25">
      <c r="B21" s="11" t="s">
        <v>438</v>
      </c>
      <c r="C21" s="11" t="s">
        <v>515</v>
      </c>
      <c r="D21" s="11" t="s">
        <v>440</v>
      </c>
      <c r="E21" s="12">
        <v>0</v>
      </c>
      <c r="F21" s="23">
        <v>53700</v>
      </c>
      <c r="G21" s="11">
        <v>5.2</v>
      </c>
      <c r="H21" s="23">
        <f t="shared" si="0"/>
        <v>279240</v>
      </c>
      <c r="J21" s="24">
        <v>216</v>
      </c>
      <c r="K21" s="12">
        <v>0.62274415248918991</v>
      </c>
      <c r="L21" s="11" t="s">
        <v>83</v>
      </c>
      <c r="M21" s="11" t="s">
        <v>84</v>
      </c>
      <c r="N21" s="12">
        <v>0.1</v>
      </c>
      <c r="O21" s="12">
        <v>2</v>
      </c>
      <c r="P21" s="11" t="s">
        <v>85</v>
      </c>
      <c r="Q21" s="11" t="s">
        <v>86</v>
      </c>
      <c r="R21" s="11" t="s">
        <v>391</v>
      </c>
      <c r="S21" s="11" t="s">
        <v>88</v>
      </c>
      <c r="T21" s="11" t="s">
        <v>89</v>
      </c>
      <c r="U21" s="11" t="s">
        <v>90</v>
      </c>
      <c r="V21" s="11" t="s">
        <v>83</v>
      </c>
      <c r="W21" s="11" t="s">
        <v>82</v>
      </c>
      <c r="X21" s="12">
        <v>0</v>
      </c>
      <c r="Y21" s="12">
        <v>0</v>
      </c>
      <c r="Z21" s="24">
        <v>20</v>
      </c>
      <c r="AA21" t="s">
        <v>516</v>
      </c>
      <c r="AB21" t="s">
        <v>92</v>
      </c>
    </row>
    <row r="22" spans="2:28" x14ac:dyDescent="0.25">
      <c r="B22" s="11" t="s">
        <v>442</v>
      </c>
      <c r="C22" s="11" t="s">
        <v>517</v>
      </c>
      <c r="D22" s="11" t="s">
        <v>444</v>
      </c>
      <c r="E22" s="12">
        <v>0</v>
      </c>
      <c r="F22" s="23">
        <v>54200</v>
      </c>
      <c r="G22" s="11">
        <v>5.2</v>
      </c>
      <c r="H22" s="23">
        <f t="shared" si="0"/>
        <v>281840</v>
      </c>
      <c r="J22" s="24">
        <v>218</v>
      </c>
      <c r="K22" s="12">
        <v>0.60744500209579044</v>
      </c>
      <c r="L22" s="11" t="s">
        <v>83</v>
      </c>
      <c r="M22" s="11" t="s">
        <v>84</v>
      </c>
      <c r="N22" s="12">
        <v>0.1</v>
      </c>
      <c r="O22" s="12">
        <v>2</v>
      </c>
      <c r="P22" s="11" t="s">
        <v>85</v>
      </c>
      <c r="Q22" s="11" t="s">
        <v>86</v>
      </c>
      <c r="R22" s="11" t="s">
        <v>391</v>
      </c>
      <c r="S22" s="11" t="s">
        <v>88</v>
      </c>
      <c r="T22" s="11" t="s">
        <v>89</v>
      </c>
      <c r="U22" s="11" t="s">
        <v>90</v>
      </c>
      <c r="V22" s="11" t="s">
        <v>83</v>
      </c>
      <c r="W22" s="11" t="s">
        <v>82</v>
      </c>
      <c r="X22" s="12">
        <v>0</v>
      </c>
      <c r="Y22" s="12">
        <v>0</v>
      </c>
      <c r="Z22" s="24">
        <v>20</v>
      </c>
      <c r="AA22" t="s">
        <v>518</v>
      </c>
      <c r="AB22" t="s">
        <v>92</v>
      </c>
    </row>
    <row r="23" spans="2:28" x14ac:dyDescent="0.25">
      <c r="B23" s="11" t="s">
        <v>446</v>
      </c>
      <c r="C23" s="11" t="s">
        <v>519</v>
      </c>
      <c r="D23" s="11" t="s">
        <v>448</v>
      </c>
      <c r="E23" s="12">
        <v>0</v>
      </c>
      <c r="F23" s="23">
        <v>9730</v>
      </c>
      <c r="G23" s="11">
        <v>5</v>
      </c>
      <c r="H23" s="23">
        <f t="shared" si="0"/>
        <v>48650</v>
      </c>
      <c r="I23" s="23">
        <f>AVERAGE(H23:H25)</f>
        <v>33500</v>
      </c>
      <c r="J23" s="24">
        <v>107</v>
      </c>
      <c r="K23" s="12">
        <v>1.1879453177669013</v>
      </c>
      <c r="L23" s="11" t="s">
        <v>83</v>
      </c>
      <c r="M23" s="11" t="s">
        <v>84</v>
      </c>
      <c r="N23" s="12">
        <v>0.1</v>
      </c>
      <c r="O23" s="12">
        <v>2</v>
      </c>
      <c r="P23" s="11" t="s">
        <v>85</v>
      </c>
      <c r="Q23" s="11" t="s">
        <v>86</v>
      </c>
      <c r="R23" s="11" t="s">
        <v>391</v>
      </c>
      <c r="S23" s="11" t="s">
        <v>88</v>
      </c>
      <c r="T23" s="11" t="s">
        <v>89</v>
      </c>
      <c r="U23" s="11" t="s">
        <v>90</v>
      </c>
      <c r="V23" s="11" t="s">
        <v>83</v>
      </c>
      <c r="W23" s="11" t="s">
        <v>82</v>
      </c>
      <c r="X23" s="12">
        <v>0</v>
      </c>
      <c r="Y23" s="12">
        <v>0</v>
      </c>
      <c r="Z23" s="24">
        <v>20</v>
      </c>
      <c r="AA23" t="s">
        <v>520</v>
      </c>
      <c r="AB23" t="s">
        <v>92</v>
      </c>
    </row>
    <row r="24" spans="2:28" x14ac:dyDescent="0.25">
      <c r="B24" s="11" t="s">
        <v>450</v>
      </c>
      <c r="C24" s="11" t="s">
        <v>521</v>
      </c>
      <c r="D24" s="11" t="s">
        <v>452</v>
      </c>
      <c r="E24" s="12">
        <v>0</v>
      </c>
      <c r="F24" s="23">
        <v>5300</v>
      </c>
      <c r="G24" s="11">
        <v>5</v>
      </c>
      <c r="H24" s="23">
        <f t="shared" si="0"/>
        <v>26500</v>
      </c>
      <c r="J24" s="24">
        <v>215</v>
      </c>
      <c r="K24" s="12">
        <v>1.338204825822199</v>
      </c>
      <c r="L24" s="11" t="s">
        <v>83</v>
      </c>
      <c r="M24" s="11" t="s">
        <v>84</v>
      </c>
      <c r="N24" s="12">
        <v>0.1</v>
      </c>
      <c r="O24" s="12">
        <v>2</v>
      </c>
      <c r="P24" s="11" t="s">
        <v>85</v>
      </c>
      <c r="Q24" s="11" t="s">
        <v>86</v>
      </c>
      <c r="R24" s="11" t="s">
        <v>391</v>
      </c>
      <c r="S24" s="11" t="s">
        <v>88</v>
      </c>
      <c r="T24" s="11" t="s">
        <v>89</v>
      </c>
      <c r="U24" s="11" t="s">
        <v>90</v>
      </c>
      <c r="V24" s="11" t="s">
        <v>83</v>
      </c>
      <c r="W24" s="11" t="s">
        <v>82</v>
      </c>
      <c r="X24" s="12">
        <v>0</v>
      </c>
      <c r="Y24" s="12">
        <v>0</v>
      </c>
      <c r="Z24" s="24">
        <v>20</v>
      </c>
      <c r="AA24" t="s">
        <v>522</v>
      </c>
      <c r="AB24" t="s">
        <v>92</v>
      </c>
    </row>
    <row r="25" spans="2:28" x14ac:dyDescent="0.25">
      <c r="B25" s="11" t="s">
        <v>454</v>
      </c>
      <c r="C25" s="11" t="s">
        <v>523</v>
      </c>
      <c r="D25" s="11" t="s">
        <v>456</v>
      </c>
      <c r="E25" s="12">
        <v>0</v>
      </c>
      <c r="F25" s="23">
        <v>5070</v>
      </c>
      <c r="G25" s="11">
        <v>5</v>
      </c>
      <c r="H25" s="23">
        <f t="shared" si="0"/>
        <v>25350</v>
      </c>
      <c r="J25" s="24">
        <v>215</v>
      </c>
      <c r="K25" s="12">
        <v>1.3407070096028606</v>
      </c>
      <c r="L25" s="11" t="s">
        <v>83</v>
      </c>
      <c r="M25" s="11" t="s">
        <v>84</v>
      </c>
      <c r="N25" s="12">
        <v>0.1</v>
      </c>
      <c r="O25" s="12">
        <v>2</v>
      </c>
      <c r="P25" s="11" t="s">
        <v>85</v>
      </c>
      <c r="Q25" s="11" t="s">
        <v>86</v>
      </c>
      <c r="R25" s="11" t="s">
        <v>391</v>
      </c>
      <c r="S25" s="11" t="s">
        <v>88</v>
      </c>
      <c r="T25" s="11" t="s">
        <v>89</v>
      </c>
      <c r="U25" s="11" t="s">
        <v>90</v>
      </c>
      <c r="V25" s="11" t="s">
        <v>83</v>
      </c>
      <c r="W25" s="11" t="s">
        <v>82</v>
      </c>
      <c r="X25" s="12">
        <v>0</v>
      </c>
      <c r="Y25" s="12">
        <v>0</v>
      </c>
      <c r="Z25" s="24">
        <v>20</v>
      </c>
      <c r="AA25" t="s">
        <v>524</v>
      </c>
      <c r="AB25" t="s">
        <v>92</v>
      </c>
    </row>
    <row r="26" spans="2:28" x14ac:dyDescent="0.25">
      <c r="H26" s="23"/>
      <c r="I26" s="11">
        <v>257856.66666666666</v>
      </c>
    </row>
    <row r="28" spans="2:28" x14ac:dyDescent="0.25">
      <c r="E28" s="12" t="s">
        <v>525</v>
      </c>
      <c r="F28" s="23">
        <f>AVERAGE(I5:I11)</f>
        <v>9754111.1111111119</v>
      </c>
      <c r="H28" s="11" t="s">
        <v>474</v>
      </c>
      <c r="I28" s="23">
        <f>AVERAGE(I14:I26)</f>
        <v>128050.26666666668</v>
      </c>
      <c r="K28" s="22" t="s">
        <v>526</v>
      </c>
      <c r="L28" s="11">
        <f>SQRT((F28/3)+(I28/5))</f>
        <v>1810.2431946298552</v>
      </c>
    </row>
    <row r="29" spans="2:28" x14ac:dyDescent="0.25">
      <c r="E29" s="12" t="s">
        <v>527</v>
      </c>
      <c r="F29" s="23">
        <f>STDEV(I5:I11)</f>
        <v>7146769.0161618032</v>
      </c>
      <c r="H29" s="11" t="s">
        <v>476</v>
      </c>
      <c r="I29" s="23">
        <f>STDEV(I14:I26)</f>
        <v>129692.50249519697</v>
      </c>
    </row>
    <row r="31" spans="2:28" x14ac:dyDescent="0.25">
      <c r="G31" s="11" t="s">
        <v>475</v>
      </c>
      <c r="H31" s="11">
        <f>F28-I28</f>
        <v>9626060.8444444444</v>
      </c>
      <c r="K31" s="12">
        <f>(I28/F28)*100</f>
        <v>1.3127825304430041</v>
      </c>
    </row>
    <row r="32" spans="2:28" x14ac:dyDescent="0.25">
      <c r="D32" s="11" t="s">
        <v>528</v>
      </c>
    </row>
    <row r="33" spans="1:28" x14ac:dyDescent="0.25">
      <c r="B33" s="11" t="s">
        <v>125</v>
      </c>
      <c r="C33" s="11" t="s">
        <v>529</v>
      </c>
      <c r="D33" s="11" t="s">
        <v>530</v>
      </c>
      <c r="E33" s="12">
        <v>0</v>
      </c>
      <c r="F33" s="23">
        <v>66200</v>
      </c>
      <c r="G33" s="11">
        <v>4.3</v>
      </c>
      <c r="H33" s="23">
        <f>F33*G33</f>
        <v>284660</v>
      </c>
      <c r="I33" s="23">
        <f>AVERAGE(H33:H35)</f>
        <v>257856.66666666666</v>
      </c>
      <c r="J33" s="24">
        <v>211</v>
      </c>
      <c r="K33" s="12">
        <v>0.67774193877526034</v>
      </c>
      <c r="L33" s="11" t="s">
        <v>83</v>
      </c>
      <c r="M33" s="11" t="s">
        <v>84</v>
      </c>
      <c r="N33" s="12">
        <v>0.1</v>
      </c>
      <c r="O33" s="12">
        <v>2</v>
      </c>
      <c r="P33" s="11" t="s">
        <v>85</v>
      </c>
      <c r="Q33" s="11" t="s">
        <v>86</v>
      </c>
      <c r="R33" s="11" t="s">
        <v>391</v>
      </c>
      <c r="S33" s="11" t="s">
        <v>88</v>
      </c>
      <c r="T33" s="11" t="s">
        <v>89</v>
      </c>
      <c r="U33" s="11" t="s">
        <v>90</v>
      </c>
      <c r="V33" s="11" t="s">
        <v>83</v>
      </c>
      <c r="W33" s="11" t="s">
        <v>82</v>
      </c>
      <c r="X33" s="12">
        <v>0</v>
      </c>
      <c r="Y33" s="12">
        <v>0</v>
      </c>
      <c r="Z33" s="24">
        <v>20</v>
      </c>
      <c r="AA33" t="s">
        <v>531</v>
      </c>
      <c r="AB33" t="s">
        <v>92</v>
      </c>
    </row>
    <row r="34" spans="1:28" x14ac:dyDescent="0.25">
      <c r="B34" s="11" t="s">
        <v>136</v>
      </c>
      <c r="C34" s="11" t="s">
        <v>532</v>
      </c>
      <c r="D34" s="11" t="s">
        <v>533</v>
      </c>
      <c r="E34" s="12">
        <v>0</v>
      </c>
      <c r="F34" s="23">
        <v>56400</v>
      </c>
      <c r="G34" s="11">
        <v>4.3</v>
      </c>
      <c r="H34" s="23">
        <f>F34*G34</f>
        <v>242520</v>
      </c>
      <c r="J34" s="24">
        <v>227</v>
      </c>
      <c r="K34" s="12">
        <v>0.76049438804252401</v>
      </c>
      <c r="L34" s="11" t="s">
        <v>83</v>
      </c>
      <c r="M34" s="11" t="s">
        <v>84</v>
      </c>
      <c r="N34" s="12">
        <v>0.1</v>
      </c>
      <c r="O34" s="12">
        <v>2</v>
      </c>
      <c r="P34" s="11" t="s">
        <v>85</v>
      </c>
      <c r="Q34" s="11" t="s">
        <v>86</v>
      </c>
      <c r="R34" s="11" t="s">
        <v>391</v>
      </c>
      <c r="S34" s="11" t="s">
        <v>88</v>
      </c>
      <c r="T34" s="11" t="s">
        <v>89</v>
      </c>
      <c r="U34" s="11" t="s">
        <v>90</v>
      </c>
      <c r="V34" s="11" t="s">
        <v>83</v>
      </c>
      <c r="W34" s="11" t="s">
        <v>82</v>
      </c>
      <c r="X34" s="12">
        <v>0</v>
      </c>
      <c r="Y34" s="12">
        <v>0</v>
      </c>
      <c r="Z34" s="24">
        <v>20</v>
      </c>
      <c r="AA34" t="s">
        <v>534</v>
      </c>
      <c r="AB34" t="s">
        <v>92</v>
      </c>
    </row>
    <row r="35" spans="1:28" x14ac:dyDescent="0.25">
      <c r="B35" s="11" t="s">
        <v>147</v>
      </c>
      <c r="C35" s="11" t="s">
        <v>535</v>
      </c>
      <c r="D35" s="11" t="s">
        <v>536</v>
      </c>
      <c r="E35" s="12">
        <v>0</v>
      </c>
      <c r="F35" s="23">
        <v>57300</v>
      </c>
      <c r="G35" s="11">
        <v>4.3</v>
      </c>
      <c r="H35" s="23">
        <f>F35*G35</f>
        <v>246390</v>
      </c>
      <c r="J35" s="24">
        <v>218</v>
      </c>
      <c r="K35" s="12">
        <v>0.69994075741542128</v>
      </c>
      <c r="L35" s="11" t="s">
        <v>83</v>
      </c>
      <c r="M35" s="11" t="s">
        <v>84</v>
      </c>
      <c r="N35" s="12">
        <v>0.1</v>
      </c>
      <c r="O35" s="12">
        <v>2</v>
      </c>
      <c r="P35" s="11" t="s">
        <v>85</v>
      </c>
      <c r="Q35" s="11" t="s">
        <v>86</v>
      </c>
      <c r="R35" s="11" t="s">
        <v>391</v>
      </c>
      <c r="S35" s="11" t="s">
        <v>88</v>
      </c>
      <c r="T35" s="11" t="s">
        <v>89</v>
      </c>
      <c r="U35" s="11" t="s">
        <v>90</v>
      </c>
      <c r="V35" s="11" t="s">
        <v>83</v>
      </c>
      <c r="W35" s="11" t="s">
        <v>82</v>
      </c>
      <c r="X35" s="12">
        <v>0</v>
      </c>
      <c r="Y35" s="12">
        <v>0</v>
      </c>
      <c r="Z35" s="24">
        <v>20</v>
      </c>
      <c r="AA35" t="s">
        <v>537</v>
      </c>
      <c r="AB35" t="s">
        <v>92</v>
      </c>
    </row>
    <row r="42" spans="1:28" x14ac:dyDescent="0.25">
      <c r="A42" t="s">
        <v>761</v>
      </c>
      <c r="D42" s="11" t="s">
        <v>765</v>
      </c>
      <c r="F42" s="23" t="s">
        <v>760</v>
      </c>
      <c r="P42" s="11" t="s">
        <v>797</v>
      </c>
    </row>
    <row r="43" spans="1:28" ht="30" x14ac:dyDescent="0.25">
      <c r="A43" s="5" t="s">
        <v>42</v>
      </c>
      <c r="B43" s="6" t="s">
        <v>43</v>
      </c>
      <c r="C43" s="7" t="s">
        <v>44</v>
      </c>
      <c r="D43" s="7" t="s">
        <v>45</v>
      </c>
      <c r="E43" s="8" t="s">
        <v>46</v>
      </c>
      <c r="F43" s="9" t="s">
        <v>47</v>
      </c>
      <c r="G43" s="10" t="s">
        <v>48</v>
      </c>
      <c r="H43" s="10" t="s">
        <v>781</v>
      </c>
      <c r="J43" s="11"/>
      <c r="K43" s="12" t="s">
        <v>774</v>
      </c>
      <c r="M43" s="11" t="s">
        <v>773</v>
      </c>
      <c r="N43" s="12" t="s">
        <v>472</v>
      </c>
      <c r="P43" s="106" t="s">
        <v>798</v>
      </c>
      <c r="Q43" s="11" t="s">
        <v>472</v>
      </c>
    </row>
    <row r="44" spans="1:28" ht="38.25" x14ac:dyDescent="0.25">
      <c r="A44" s="13" t="s">
        <v>746</v>
      </c>
      <c r="B44" s="14">
        <v>1</v>
      </c>
      <c r="C44" s="15"/>
      <c r="D44" s="16"/>
      <c r="E44" s="17"/>
      <c r="F44" s="15">
        <f>I2</f>
        <v>16154666.666666666</v>
      </c>
      <c r="G44" s="149" t="s">
        <v>51</v>
      </c>
      <c r="H44" s="155"/>
      <c r="J44" s="11"/>
      <c r="K44" s="12">
        <f>LOG(F44)</f>
        <v>7.2082980012691182</v>
      </c>
      <c r="M44" s="12">
        <f>(LOG(GEOMEAN(F45:F47)))-(LOG(GEOMEAN(F48:F52)))</f>
        <v>2.0293944710003897</v>
      </c>
      <c r="N44" s="90">
        <f>SQRT(VAR(K45:K47)/3+(VAR(K48:K52)/5))</f>
        <v>0.39371487153692991</v>
      </c>
      <c r="P44" s="12">
        <f>AVERAGE(K45:K47)</f>
        <v>6.8540139486222822</v>
      </c>
      <c r="Q44" s="12">
        <f>SQRT(VAR(K45:K47)/3)</f>
        <v>0.27627511274888722</v>
      </c>
    </row>
    <row r="45" spans="1:28" x14ac:dyDescent="0.25">
      <c r="A45" s="148" t="s">
        <v>748</v>
      </c>
      <c r="B45" s="14">
        <v>1</v>
      </c>
      <c r="C45" s="15"/>
      <c r="D45" s="16"/>
      <c r="E45" s="17"/>
      <c r="F45" s="15">
        <f>I5</f>
        <v>11072333.333333334</v>
      </c>
      <c r="G45" s="156">
        <f>AVERAGE(F45:F47)</f>
        <v>9754111.1111111119</v>
      </c>
      <c r="H45" s="159">
        <f>STDEV(F45:F47)</f>
        <v>7146769.0161618032</v>
      </c>
      <c r="J45" s="11"/>
      <c r="K45" s="12">
        <f t="shared" ref="K45:K52" si="1">LOG(F45)</f>
        <v>7.0442391517738283</v>
      </c>
    </row>
    <row r="46" spans="1:28" x14ac:dyDescent="0.25">
      <c r="A46" s="148"/>
      <c r="B46" s="14">
        <v>2</v>
      </c>
      <c r="C46" s="15"/>
      <c r="D46" s="16"/>
      <c r="E46" s="17"/>
      <c r="F46" s="15">
        <f>I8</f>
        <v>16150000</v>
      </c>
      <c r="G46" s="157"/>
      <c r="H46" s="160"/>
      <c r="I46" s="21">
        <f>G45/F44</f>
        <v>0.60379525696049308</v>
      </c>
      <c r="J46" s="22" t="s">
        <v>52</v>
      </c>
      <c r="K46" s="12">
        <f t="shared" si="1"/>
        <v>7.2081725266671217</v>
      </c>
    </row>
    <row r="47" spans="1:28" x14ac:dyDescent="0.25">
      <c r="A47" s="148"/>
      <c r="B47" s="14">
        <v>3</v>
      </c>
      <c r="C47" s="15"/>
      <c r="D47" s="16"/>
      <c r="E47" s="17"/>
      <c r="F47" s="15">
        <f>I11</f>
        <v>2040000</v>
      </c>
      <c r="G47" s="158"/>
      <c r="H47" s="161"/>
      <c r="I47" s="18"/>
      <c r="J47" s="20"/>
      <c r="K47" s="12">
        <f t="shared" si="1"/>
        <v>6.3096301674258983</v>
      </c>
    </row>
    <row r="48" spans="1:28" x14ac:dyDescent="0.25">
      <c r="A48" s="148" t="s">
        <v>749</v>
      </c>
      <c r="B48" s="14">
        <v>1</v>
      </c>
      <c r="C48" s="65"/>
      <c r="D48" s="17"/>
      <c r="E48" s="15"/>
      <c r="F48" s="15">
        <f>I14</f>
        <v>60764</v>
      </c>
      <c r="G48" s="185">
        <f>AVERAGE(F48:F52)</f>
        <v>128050.26666666668</v>
      </c>
      <c r="H48" s="147">
        <f>STDEV(F48:F52)</f>
        <v>129692.50249519697</v>
      </c>
      <c r="J48" s="11"/>
      <c r="K48" s="12">
        <f t="shared" si="1"/>
        <v>4.7836463550648185</v>
      </c>
    </row>
    <row r="49" spans="1:11" x14ac:dyDescent="0.25">
      <c r="A49" s="148"/>
      <c r="B49" s="14">
        <v>2</v>
      </c>
      <c r="C49" s="65"/>
      <c r="D49" s="17"/>
      <c r="E49" s="15"/>
      <c r="F49" s="15">
        <f>I17</f>
        <v>9064</v>
      </c>
      <c r="G49" s="186"/>
      <c r="H49" s="164"/>
      <c r="J49" s="11"/>
      <c r="K49" s="12">
        <f t="shared" si="1"/>
        <v>3.9573198968553407</v>
      </c>
    </row>
    <row r="50" spans="1:11" x14ac:dyDescent="0.25">
      <c r="A50" s="148"/>
      <c r="B50" s="14">
        <v>3</v>
      </c>
      <c r="C50" s="65"/>
      <c r="D50" s="17"/>
      <c r="E50" s="15"/>
      <c r="F50" s="15">
        <f>I20</f>
        <v>279066.66666666669</v>
      </c>
      <c r="G50" s="186"/>
      <c r="H50" s="164"/>
      <c r="J50" s="11"/>
      <c r="K50" s="12">
        <f t="shared" si="1"/>
        <v>5.4457079649469868</v>
      </c>
    </row>
    <row r="51" spans="1:11" x14ac:dyDescent="0.25">
      <c r="A51" s="148"/>
      <c r="B51" s="14">
        <v>4</v>
      </c>
      <c r="C51" s="65"/>
      <c r="D51" s="17"/>
      <c r="E51" s="15"/>
      <c r="F51" s="15">
        <f>I23</f>
        <v>33500</v>
      </c>
      <c r="G51" s="186"/>
      <c r="H51" s="164"/>
      <c r="J51" s="11"/>
      <c r="K51" s="12">
        <f t="shared" si="1"/>
        <v>4.5250448070368456</v>
      </c>
    </row>
    <row r="52" spans="1:11" x14ac:dyDescent="0.25">
      <c r="A52" s="148"/>
      <c r="B52" s="14">
        <v>5</v>
      </c>
      <c r="C52" s="65"/>
      <c r="D52" s="17"/>
      <c r="E52" s="15"/>
      <c r="F52" s="15">
        <f>I33</f>
        <v>257856.66666666666</v>
      </c>
      <c r="G52" s="187"/>
      <c r="H52" s="165"/>
      <c r="J52" s="11"/>
      <c r="K52" s="12">
        <f t="shared" si="1"/>
        <v>5.4113783642054756</v>
      </c>
    </row>
    <row r="58" spans="1:11" x14ac:dyDescent="0.25">
      <c r="B58" s="11" t="s">
        <v>808</v>
      </c>
      <c r="C58" s="11" t="s">
        <v>810</v>
      </c>
      <c r="D58" s="12" t="s">
        <v>809</v>
      </c>
    </row>
    <row r="59" spans="1:11" x14ac:dyDescent="0.25">
      <c r="A59" t="s">
        <v>799</v>
      </c>
      <c r="B59" s="11">
        <f>LOG(F45)</f>
        <v>7.0442391517738283</v>
      </c>
      <c r="C59" s="12">
        <f>AVERAGE(B59:B61)</f>
        <v>6.8540139486222822</v>
      </c>
      <c r="D59" s="12">
        <f>STDEV(B59:B61)</f>
        <v>0.4785225321478927</v>
      </c>
    </row>
    <row r="60" spans="1:11" x14ac:dyDescent="0.25">
      <c r="B60" s="11">
        <f t="shared" ref="B60:B66" si="2">LOG(F46)</f>
        <v>7.2081725266671217</v>
      </c>
      <c r="D60" s="12"/>
    </row>
    <row r="61" spans="1:11" x14ac:dyDescent="0.25">
      <c r="B61" s="11">
        <f t="shared" si="2"/>
        <v>6.3096301674258983</v>
      </c>
      <c r="D61" s="12"/>
    </row>
    <row r="62" spans="1:11" x14ac:dyDescent="0.25">
      <c r="A62" t="s">
        <v>807</v>
      </c>
      <c r="B62" s="11">
        <f t="shared" si="2"/>
        <v>4.7836463550648185</v>
      </c>
      <c r="C62" s="11">
        <f>AVERAGE(B62:B66)</f>
        <v>4.8246194776218934</v>
      </c>
      <c r="D62" s="12">
        <f>STDEV(B62:B66)</f>
        <v>0.62722987072097769</v>
      </c>
    </row>
    <row r="63" spans="1:11" x14ac:dyDescent="0.25">
      <c r="B63" s="11">
        <f t="shared" si="2"/>
        <v>3.9573198968553407</v>
      </c>
      <c r="D63" s="12"/>
    </row>
    <row r="64" spans="1:11" x14ac:dyDescent="0.25">
      <c r="B64" s="11">
        <f t="shared" si="2"/>
        <v>5.4457079649469868</v>
      </c>
      <c r="D64" s="12"/>
    </row>
    <row r="65" spans="2:4" x14ac:dyDescent="0.25">
      <c r="B65" s="11">
        <f t="shared" si="2"/>
        <v>4.5250448070368456</v>
      </c>
      <c r="D65" s="12"/>
    </row>
    <row r="66" spans="2:4" x14ac:dyDescent="0.25">
      <c r="B66" s="11">
        <f t="shared" si="2"/>
        <v>5.4113783642054756</v>
      </c>
      <c r="D66" s="12"/>
    </row>
  </sheetData>
  <mergeCells count="7">
    <mergeCell ref="G44:H44"/>
    <mergeCell ref="A45:A47"/>
    <mergeCell ref="G45:G47"/>
    <mergeCell ref="H45:H47"/>
    <mergeCell ref="A48:A52"/>
    <mergeCell ref="G48:G52"/>
    <mergeCell ref="H48:H5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topLeftCell="A34" workbookViewId="0">
      <selection activeCell="B59" sqref="B59:B61"/>
    </sheetView>
  </sheetViews>
  <sheetFormatPr defaultRowHeight="15" x14ac:dyDescent="0.25"/>
  <cols>
    <col min="2" max="2" width="9.140625" style="11"/>
    <col min="3" max="3" width="14.28515625" style="11" customWidth="1"/>
    <col min="4" max="4" width="9.140625" style="11"/>
    <col min="5" max="5" width="9.140625" style="12"/>
    <col min="6" max="6" width="13.5703125" style="23" customWidth="1"/>
    <col min="7" max="7" width="9.140625" style="11"/>
    <col min="8" max="8" width="13.85546875" style="11" customWidth="1"/>
    <col min="9" max="9" width="9.140625" style="11"/>
    <col min="10" max="10" width="9.140625" style="24"/>
    <col min="11" max="11" width="9.140625" style="12"/>
    <col min="12" max="13" width="9.140625" style="11"/>
    <col min="14" max="15" width="9.140625" style="12"/>
    <col min="16" max="16" width="9.140625" style="11"/>
    <col min="17" max="17" width="13.28515625" style="11" customWidth="1"/>
    <col min="18" max="23" width="9.140625" style="11"/>
    <col min="24" max="25" width="9.140625" style="12"/>
    <col min="26" max="26" width="9.140625" style="24"/>
    <col min="27" max="27" width="21.42578125" customWidth="1"/>
    <col min="259" max="259" width="14.28515625" customWidth="1"/>
    <col min="262" max="262" width="13.5703125" customWidth="1"/>
    <col min="264" max="264" width="13.85546875" customWidth="1"/>
    <col min="273" max="273" width="13.28515625" customWidth="1"/>
    <col min="283" max="283" width="21.42578125" customWidth="1"/>
    <col min="515" max="515" width="14.28515625" customWidth="1"/>
    <col min="518" max="518" width="13.5703125" customWidth="1"/>
    <col min="520" max="520" width="13.85546875" customWidth="1"/>
    <col min="529" max="529" width="13.28515625" customWidth="1"/>
    <col min="539" max="539" width="21.42578125" customWidth="1"/>
    <col min="771" max="771" width="14.28515625" customWidth="1"/>
    <col min="774" max="774" width="13.5703125" customWidth="1"/>
    <col min="776" max="776" width="13.85546875" customWidth="1"/>
    <col min="785" max="785" width="13.28515625" customWidth="1"/>
    <col min="795" max="795" width="21.42578125" customWidth="1"/>
    <col min="1027" max="1027" width="14.28515625" customWidth="1"/>
    <col min="1030" max="1030" width="13.5703125" customWidth="1"/>
    <col min="1032" max="1032" width="13.85546875" customWidth="1"/>
    <col min="1041" max="1041" width="13.28515625" customWidth="1"/>
    <col min="1051" max="1051" width="21.42578125" customWidth="1"/>
    <col min="1283" max="1283" width="14.28515625" customWidth="1"/>
    <col min="1286" max="1286" width="13.5703125" customWidth="1"/>
    <col min="1288" max="1288" width="13.85546875" customWidth="1"/>
    <col min="1297" max="1297" width="13.28515625" customWidth="1"/>
    <col min="1307" max="1307" width="21.42578125" customWidth="1"/>
    <col min="1539" max="1539" width="14.28515625" customWidth="1"/>
    <col min="1542" max="1542" width="13.5703125" customWidth="1"/>
    <col min="1544" max="1544" width="13.85546875" customWidth="1"/>
    <col min="1553" max="1553" width="13.28515625" customWidth="1"/>
    <col min="1563" max="1563" width="21.42578125" customWidth="1"/>
    <col min="1795" max="1795" width="14.28515625" customWidth="1"/>
    <col min="1798" max="1798" width="13.5703125" customWidth="1"/>
    <col min="1800" max="1800" width="13.85546875" customWidth="1"/>
    <col min="1809" max="1809" width="13.28515625" customWidth="1"/>
    <col min="1819" max="1819" width="21.42578125" customWidth="1"/>
    <col min="2051" max="2051" width="14.28515625" customWidth="1"/>
    <col min="2054" max="2054" width="13.5703125" customWidth="1"/>
    <col min="2056" max="2056" width="13.85546875" customWidth="1"/>
    <col min="2065" max="2065" width="13.28515625" customWidth="1"/>
    <col min="2075" max="2075" width="21.42578125" customWidth="1"/>
    <col min="2307" max="2307" width="14.28515625" customWidth="1"/>
    <col min="2310" max="2310" width="13.5703125" customWidth="1"/>
    <col min="2312" max="2312" width="13.85546875" customWidth="1"/>
    <col min="2321" max="2321" width="13.28515625" customWidth="1"/>
    <col min="2331" max="2331" width="21.42578125" customWidth="1"/>
    <col min="2563" max="2563" width="14.28515625" customWidth="1"/>
    <col min="2566" max="2566" width="13.5703125" customWidth="1"/>
    <col min="2568" max="2568" width="13.85546875" customWidth="1"/>
    <col min="2577" max="2577" width="13.28515625" customWidth="1"/>
    <col min="2587" max="2587" width="21.42578125" customWidth="1"/>
    <col min="2819" max="2819" width="14.28515625" customWidth="1"/>
    <col min="2822" max="2822" width="13.5703125" customWidth="1"/>
    <col min="2824" max="2824" width="13.85546875" customWidth="1"/>
    <col min="2833" max="2833" width="13.28515625" customWidth="1"/>
    <col min="2843" max="2843" width="21.42578125" customWidth="1"/>
    <col min="3075" max="3075" width="14.28515625" customWidth="1"/>
    <col min="3078" max="3078" width="13.5703125" customWidth="1"/>
    <col min="3080" max="3080" width="13.85546875" customWidth="1"/>
    <col min="3089" max="3089" width="13.28515625" customWidth="1"/>
    <col min="3099" max="3099" width="21.42578125" customWidth="1"/>
    <col min="3331" max="3331" width="14.28515625" customWidth="1"/>
    <col min="3334" max="3334" width="13.5703125" customWidth="1"/>
    <col min="3336" max="3336" width="13.85546875" customWidth="1"/>
    <col min="3345" max="3345" width="13.28515625" customWidth="1"/>
    <col min="3355" max="3355" width="21.42578125" customWidth="1"/>
    <col min="3587" max="3587" width="14.28515625" customWidth="1"/>
    <col min="3590" max="3590" width="13.5703125" customWidth="1"/>
    <col min="3592" max="3592" width="13.85546875" customWidth="1"/>
    <col min="3601" max="3601" width="13.28515625" customWidth="1"/>
    <col min="3611" max="3611" width="21.42578125" customWidth="1"/>
    <col min="3843" max="3843" width="14.28515625" customWidth="1"/>
    <col min="3846" max="3846" width="13.5703125" customWidth="1"/>
    <col min="3848" max="3848" width="13.85546875" customWidth="1"/>
    <col min="3857" max="3857" width="13.28515625" customWidth="1"/>
    <col min="3867" max="3867" width="21.42578125" customWidth="1"/>
    <col min="4099" max="4099" width="14.28515625" customWidth="1"/>
    <col min="4102" max="4102" width="13.5703125" customWidth="1"/>
    <col min="4104" max="4104" width="13.85546875" customWidth="1"/>
    <col min="4113" max="4113" width="13.28515625" customWidth="1"/>
    <col min="4123" max="4123" width="21.42578125" customWidth="1"/>
    <col min="4355" max="4355" width="14.28515625" customWidth="1"/>
    <col min="4358" max="4358" width="13.5703125" customWidth="1"/>
    <col min="4360" max="4360" width="13.85546875" customWidth="1"/>
    <col min="4369" max="4369" width="13.28515625" customWidth="1"/>
    <col min="4379" max="4379" width="21.42578125" customWidth="1"/>
    <col min="4611" max="4611" width="14.28515625" customWidth="1"/>
    <col min="4614" max="4614" width="13.5703125" customWidth="1"/>
    <col min="4616" max="4616" width="13.85546875" customWidth="1"/>
    <col min="4625" max="4625" width="13.28515625" customWidth="1"/>
    <col min="4635" max="4635" width="21.42578125" customWidth="1"/>
    <col min="4867" max="4867" width="14.28515625" customWidth="1"/>
    <col min="4870" max="4870" width="13.5703125" customWidth="1"/>
    <col min="4872" max="4872" width="13.85546875" customWidth="1"/>
    <col min="4881" max="4881" width="13.28515625" customWidth="1"/>
    <col min="4891" max="4891" width="21.42578125" customWidth="1"/>
    <col min="5123" max="5123" width="14.28515625" customWidth="1"/>
    <col min="5126" max="5126" width="13.5703125" customWidth="1"/>
    <col min="5128" max="5128" width="13.85546875" customWidth="1"/>
    <col min="5137" max="5137" width="13.28515625" customWidth="1"/>
    <col min="5147" max="5147" width="21.42578125" customWidth="1"/>
    <col min="5379" max="5379" width="14.28515625" customWidth="1"/>
    <col min="5382" max="5382" width="13.5703125" customWidth="1"/>
    <col min="5384" max="5384" width="13.85546875" customWidth="1"/>
    <col min="5393" max="5393" width="13.28515625" customWidth="1"/>
    <col min="5403" max="5403" width="21.42578125" customWidth="1"/>
    <col min="5635" max="5635" width="14.28515625" customWidth="1"/>
    <col min="5638" max="5638" width="13.5703125" customWidth="1"/>
    <col min="5640" max="5640" width="13.85546875" customWidth="1"/>
    <col min="5649" max="5649" width="13.28515625" customWidth="1"/>
    <col min="5659" max="5659" width="21.42578125" customWidth="1"/>
    <col min="5891" max="5891" width="14.28515625" customWidth="1"/>
    <col min="5894" max="5894" width="13.5703125" customWidth="1"/>
    <col min="5896" max="5896" width="13.85546875" customWidth="1"/>
    <col min="5905" max="5905" width="13.28515625" customWidth="1"/>
    <col min="5915" max="5915" width="21.42578125" customWidth="1"/>
    <col min="6147" max="6147" width="14.28515625" customWidth="1"/>
    <col min="6150" max="6150" width="13.5703125" customWidth="1"/>
    <col min="6152" max="6152" width="13.85546875" customWidth="1"/>
    <col min="6161" max="6161" width="13.28515625" customWidth="1"/>
    <col min="6171" max="6171" width="21.42578125" customWidth="1"/>
    <col min="6403" max="6403" width="14.28515625" customWidth="1"/>
    <col min="6406" max="6406" width="13.5703125" customWidth="1"/>
    <col min="6408" max="6408" width="13.85546875" customWidth="1"/>
    <col min="6417" max="6417" width="13.28515625" customWidth="1"/>
    <col min="6427" max="6427" width="21.42578125" customWidth="1"/>
    <col min="6659" max="6659" width="14.28515625" customWidth="1"/>
    <col min="6662" max="6662" width="13.5703125" customWidth="1"/>
    <col min="6664" max="6664" width="13.85546875" customWidth="1"/>
    <col min="6673" max="6673" width="13.28515625" customWidth="1"/>
    <col min="6683" max="6683" width="21.42578125" customWidth="1"/>
    <col min="6915" max="6915" width="14.28515625" customWidth="1"/>
    <col min="6918" max="6918" width="13.5703125" customWidth="1"/>
    <col min="6920" max="6920" width="13.85546875" customWidth="1"/>
    <col min="6929" max="6929" width="13.28515625" customWidth="1"/>
    <col min="6939" max="6939" width="21.42578125" customWidth="1"/>
    <col min="7171" max="7171" width="14.28515625" customWidth="1"/>
    <col min="7174" max="7174" width="13.5703125" customWidth="1"/>
    <col min="7176" max="7176" width="13.85546875" customWidth="1"/>
    <col min="7185" max="7185" width="13.28515625" customWidth="1"/>
    <col min="7195" max="7195" width="21.42578125" customWidth="1"/>
    <col min="7427" max="7427" width="14.28515625" customWidth="1"/>
    <col min="7430" max="7430" width="13.5703125" customWidth="1"/>
    <col min="7432" max="7432" width="13.85546875" customWidth="1"/>
    <col min="7441" max="7441" width="13.28515625" customWidth="1"/>
    <col min="7451" max="7451" width="21.42578125" customWidth="1"/>
    <col min="7683" max="7683" width="14.28515625" customWidth="1"/>
    <col min="7686" max="7686" width="13.5703125" customWidth="1"/>
    <col min="7688" max="7688" width="13.85546875" customWidth="1"/>
    <col min="7697" max="7697" width="13.28515625" customWidth="1"/>
    <col min="7707" max="7707" width="21.42578125" customWidth="1"/>
    <col min="7939" max="7939" width="14.28515625" customWidth="1"/>
    <col min="7942" max="7942" width="13.5703125" customWidth="1"/>
    <col min="7944" max="7944" width="13.85546875" customWidth="1"/>
    <col min="7953" max="7953" width="13.28515625" customWidth="1"/>
    <col min="7963" max="7963" width="21.42578125" customWidth="1"/>
    <col min="8195" max="8195" width="14.28515625" customWidth="1"/>
    <col min="8198" max="8198" width="13.5703125" customWidth="1"/>
    <col min="8200" max="8200" width="13.85546875" customWidth="1"/>
    <col min="8209" max="8209" width="13.28515625" customWidth="1"/>
    <col min="8219" max="8219" width="21.42578125" customWidth="1"/>
    <col min="8451" max="8451" width="14.28515625" customWidth="1"/>
    <col min="8454" max="8454" width="13.5703125" customWidth="1"/>
    <col min="8456" max="8456" width="13.85546875" customWidth="1"/>
    <col min="8465" max="8465" width="13.28515625" customWidth="1"/>
    <col min="8475" max="8475" width="21.42578125" customWidth="1"/>
    <col min="8707" max="8707" width="14.28515625" customWidth="1"/>
    <col min="8710" max="8710" width="13.5703125" customWidth="1"/>
    <col min="8712" max="8712" width="13.85546875" customWidth="1"/>
    <col min="8721" max="8721" width="13.28515625" customWidth="1"/>
    <col min="8731" max="8731" width="21.42578125" customWidth="1"/>
    <col min="8963" max="8963" width="14.28515625" customWidth="1"/>
    <col min="8966" max="8966" width="13.5703125" customWidth="1"/>
    <col min="8968" max="8968" width="13.85546875" customWidth="1"/>
    <col min="8977" max="8977" width="13.28515625" customWidth="1"/>
    <col min="8987" max="8987" width="21.42578125" customWidth="1"/>
    <col min="9219" max="9219" width="14.28515625" customWidth="1"/>
    <col min="9222" max="9222" width="13.5703125" customWidth="1"/>
    <col min="9224" max="9224" width="13.85546875" customWidth="1"/>
    <col min="9233" max="9233" width="13.28515625" customWidth="1"/>
    <col min="9243" max="9243" width="21.42578125" customWidth="1"/>
    <col min="9475" max="9475" width="14.28515625" customWidth="1"/>
    <col min="9478" max="9478" width="13.5703125" customWidth="1"/>
    <col min="9480" max="9480" width="13.85546875" customWidth="1"/>
    <col min="9489" max="9489" width="13.28515625" customWidth="1"/>
    <col min="9499" max="9499" width="21.42578125" customWidth="1"/>
    <col min="9731" max="9731" width="14.28515625" customWidth="1"/>
    <col min="9734" max="9734" width="13.5703125" customWidth="1"/>
    <col min="9736" max="9736" width="13.85546875" customWidth="1"/>
    <col min="9745" max="9745" width="13.28515625" customWidth="1"/>
    <col min="9755" max="9755" width="21.42578125" customWidth="1"/>
    <col min="9987" max="9987" width="14.28515625" customWidth="1"/>
    <col min="9990" max="9990" width="13.5703125" customWidth="1"/>
    <col min="9992" max="9992" width="13.85546875" customWidth="1"/>
    <col min="10001" max="10001" width="13.28515625" customWidth="1"/>
    <col min="10011" max="10011" width="21.42578125" customWidth="1"/>
    <col min="10243" max="10243" width="14.28515625" customWidth="1"/>
    <col min="10246" max="10246" width="13.5703125" customWidth="1"/>
    <col min="10248" max="10248" width="13.85546875" customWidth="1"/>
    <col min="10257" max="10257" width="13.28515625" customWidth="1"/>
    <col min="10267" max="10267" width="21.42578125" customWidth="1"/>
    <col min="10499" max="10499" width="14.28515625" customWidth="1"/>
    <col min="10502" max="10502" width="13.5703125" customWidth="1"/>
    <col min="10504" max="10504" width="13.85546875" customWidth="1"/>
    <col min="10513" max="10513" width="13.28515625" customWidth="1"/>
    <col min="10523" max="10523" width="21.42578125" customWidth="1"/>
    <col min="10755" max="10755" width="14.28515625" customWidth="1"/>
    <col min="10758" max="10758" width="13.5703125" customWidth="1"/>
    <col min="10760" max="10760" width="13.85546875" customWidth="1"/>
    <col min="10769" max="10769" width="13.28515625" customWidth="1"/>
    <col min="10779" max="10779" width="21.42578125" customWidth="1"/>
    <col min="11011" max="11011" width="14.28515625" customWidth="1"/>
    <col min="11014" max="11014" width="13.5703125" customWidth="1"/>
    <col min="11016" max="11016" width="13.85546875" customWidth="1"/>
    <col min="11025" max="11025" width="13.28515625" customWidth="1"/>
    <col min="11035" max="11035" width="21.42578125" customWidth="1"/>
    <col min="11267" max="11267" width="14.28515625" customWidth="1"/>
    <col min="11270" max="11270" width="13.5703125" customWidth="1"/>
    <col min="11272" max="11272" width="13.85546875" customWidth="1"/>
    <col min="11281" max="11281" width="13.28515625" customWidth="1"/>
    <col min="11291" max="11291" width="21.42578125" customWidth="1"/>
    <col min="11523" max="11523" width="14.28515625" customWidth="1"/>
    <col min="11526" max="11526" width="13.5703125" customWidth="1"/>
    <col min="11528" max="11528" width="13.85546875" customWidth="1"/>
    <col min="11537" max="11537" width="13.28515625" customWidth="1"/>
    <col min="11547" max="11547" width="21.42578125" customWidth="1"/>
    <col min="11779" max="11779" width="14.28515625" customWidth="1"/>
    <col min="11782" max="11782" width="13.5703125" customWidth="1"/>
    <col min="11784" max="11784" width="13.85546875" customWidth="1"/>
    <col min="11793" max="11793" width="13.28515625" customWidth="1"/>
    <col min="11803" max="11803" width="21.42578125" customWidth="1"/>
    <col min="12035" max="12035" width="14.28515625" customWidth="1"/>
    <col min="12038" max="12038" width="13.5703125" customWidth="1"/>
    <col min="12040" max="12040" width="13.85546875" customWidth="1"/>
    <col min="12049" max="12049" width="13.28515625" customWidth="1"/>
    <col min="12059" max="12059" width="21.42578125" customWidth="1"/>
    <col min="12291" max="12291" width="14.28515625" customWidth="1"/>
    <col min="12294" max="12294" width="13.5703125" customWidth="1"/>
    <col min="12296" max="12296" width="13.85546875" customWidth="1"/>
    <col min="12305" max="12305" width="13.28515625" customWidth="1"/>
    <col min="12315" max="12315" width="21.42578125" customWidth="1"/>
    <col min="12547" max="12547" width="14.28515625" customWidth="1"/>
    <col min="12550" max="12550" width="13.5703125" customWidth="1"/>
    <col min="12552" max="12552" width="13.85546875" customWidth="1"/>
    <col min="12561" max="12561" width="13.28515625" customWidth="1"/>
    <col min="12571" max="12571" width="21.42578125" customWidth="1"/>
    <col min="12803" max="12803" width="14.28515625" customWidth="1"/>
    <col min="12806" max="12806" width="13.5703125" customWidth="1"/>
    <col min="12808" max="12808" width="13.85546875" customWidth="1"/>
    <col min="12817" max="12817" width="13.28515625" customWidth="1"/>
    <col min="12827" max="12827" width="21.42578125" customWidth="1"/>
    <col min="13059" max="13059" width="14.28515625" customWidth="1"/>
    <col min="13062" max="13062" width="13.5703125" customWidth="1"/>
    <col min="13064" max="13064" width="13.85546875" customWidth="1"/>
    <col min="13073" max="13073" width="13.28515625" customWidth="1"/>
    <col min="13083" max="13083" width="21.42578125" customWidth="1"/>
    <col min="13315" max="13315" width="14.28515625" customWidth="1"/>
    <col min="13318" max="13318" width="13.5703125" customWidth="1"/>
    <col min="13320" max="13320" width="13.85546875" customWidth="1"/>
    <col min="13329" max="13329" width="13.28515625" customWidth="1"/>
    <col min="13339" max="13339" width="21.42578125" customWidth="1"/>
    <col min="13571" max="13571" width="14.28515625" customWidth="1"/>
    <col min="13574" max="13574" width="13.5703125" customWidth="1"/>
    <col min="13576" max="13576" width="13.85546875" customWidth="1"/>
    <col min="13585" max="13585" width="13.28515625" customWidth="1"/>
    <col min="13595" max="13595" width="21.42578125" customWidth="1"/>
    <col min="13827" max="13827" width="14.28515625" customWidth="1"/>
    <col min="13830" max="13830" width="13.5703125" customWidth="1"/>
    <col min="13832" max="13832" width="13.85546875" customWidth="1"/>
    <col min="13841" max="13841" width="13.28515625" customWidth="1"/>
    <col min="13851" max="13851" width="21.42578125" customWidth="1"/>
    <col min="14083" max="14083" width="14.28515625" customWidth="1"/>
    <col min="14086" max="14086" width="13.5703125" customWidth="1"/>
    <col min="14088" max="14088" width="13.85546875" customWidth="1"/>
    <col min="14097" max="14097" width="13.28515625" customWidth="1"/>
    <col min="14107" max="14107" width="21.42578125" customWidth="1"/>
    <col min="14339" max="14339" width="14.28515625" customWidth="1"/>
    <col min="14342" max="14342" width="13.5703125" customWidth="1"/>
    <col min="14344" max="14344" width="13.85546875" customWidth="1"/>
    <col min="14353" max="14353" width="13.28515625" customWidth="1"/>
    <col min="14363" max="14363" width="21.42578125" customWidth="1"/>
    <col min="14595" max="14595" width="14.28515625" customWidth="1"/>
    <col min="14598" max="14598" width="13.5703125" customWidth="1"/>
    <col min="14600" max="14600" width="13.85546875" customWidth="1"/>
    <col min="14609" max="14609" width="13.28515625" customWidth="1"/>
    <col min="14619" max="14619" width="21.42578125" customWidth="1"/>
    <col min="14851" max="14851" width="14.28515625" customWidth="1"/>
    <col min="14854" max="14854" width="13.5703125" customWidth="1"/>
    <col min="14856" max="14856" width="13.85546875" customWidth="1"/>
    <col min="14865" max="14865" width="13.28515625" customWidth="1"/>
    <col min="14875" max="14875" width="21.42578125" customWidth="1"/>
    <col min="15107" max="15107" width="14.28515625" customWidth="1"/>
    <col min="15110" max="15110" width="13.5703125" customWidth="1"/>
    <col min="15112" max="15112" width="13.85546875" customWidth="1"/>
    <col min="15121" max="15121" width="13.28515625" customWidth="1"/>
    <col min="15131" max="15131" width="21.42578125" customWidth="1"/>
    <col min="15363" max="15363" width="14.28515625" customWidth="1"/>
    <col min="15366" max="15366" width="13.5703125" customWidth="1"/>
    <col min="15368" max="15368" width="13.85546875" customWidth="1"/>
    <col min="15377" max="15377" width="13.28515625" customWidth="1"/>
    <col min="15387" max="15387" width="21.42578125" customWidth="1"/>
    <col min="15619" max="15619" width="14.28515625" customWidth="1"/>
    <col min="15622" max="15622" width="13.5703125" customWidth="1"/>
    <col min="15624" max="15624" width="13.85546875" customWidth="1"/>
    <col min="15633" max="15633" width="13.28515625" customWidth="1"/>
    <col min="15643" max="15643" width="21.42578125" customWidth="1"/>
    <col min="15875" max="15875" width="14.28515625" customWidth="1"/>
    <col min="15878" max="15878" width="13.5703125" customWidth="1"/>
    <col min="15880" max="15880" width="13.85546875" customWidth="1"/>
    <col min="15889" max="15889" width="13.28515625" customWidth="1"/>
    <col min="15899" max="15899" width="21.42578125" customWidth="1"/>
    <col min="16131" max="16131" width="14.28515625" customWidth="1"/>
    <col min="16134" max="16134" width="13.5703125" customWidth="1"/>
    <col min="16136" max="16136" width="13.85546875" customWidth="1"/>
    <col min="16145" max="16145" width="13.28515625" customWidth="1"/>
    <col min="16155" max="16155" width="21.42578125" customWidth="1"/>
  </cols>
  <sheetData>
    <row r="1" spans="2:28" x14ac:dyDescent="0.25">
      <c r="B1" s="28" t="s">
        <v>56</v>
      </c>
      <c r="C1" s="28" t="s">
        <v>202</v>
      </c>
      <c r="D1" s="28" t="s">
        <v>57</v>
      </c>
      <c r="E1" s="29" t="s">
        <v>58</v>
      </c>
      <c r="F1" s="30" t="s">
        <v>59</v>
      </c>
      <c r="G1" s="28" t="s">
        <v>203</v>
      </c>
      <c r="H1" s="28" t="s">
        <v>47</v>
      </c>
      <c r="I1" s="28" t="s">
        <v>204</v>
      </c>
      <c r="J1" s="31" t="s">
        <v>61</v>
      </c>
      <c r="K1" s="29" t="s">
        <v>62</v>
      </c>
      <c r="L1" s="28" t="s">
        <v>63</v>
      </c>
      <c r="M1" s="28" t="s">
        <v>64</v>
      </c>
      <c r="N1" s="29" t="s">
        <v>65</v>
      </c>
      <c r="O1" s="29" t="s">
        <v>66</v>
      </c>
      <c r="P1" s="28" t="s">
        <v>67</v>
      </c>
      <c r="Q1" s="28" t="s">
        <v>68</v>
      </c>
      <c r="R1" s="28" t="s">
        <v>69</v>
      </c>
      <c r="S1" s="28" t="s">
        <v>70</v>
      </c>
      <c r="T1" s="28" t="s">
        <v>71</v>
      </c>
      <c r="U1" s="28" t="s">
        <v>72</v>
      </c>
      <c r="V1" s="28" t="s">
        <v>73</v>
      </c>
      <c r="W1" s="28" t="s">
        <v>74</v>
      </c>
      <c r="X1" s="29" t="s">
        <v>75</v>
      </c>
      <c r="Y1" s="29" t="s">
        <v>76</v>
      </c>
      <c r="Z1" s="31" t="s">
        <v>77</v>
      </c>
      <c r="AA1" s="32" t="s">
        <v>78</v>
      </c>
      <c r="AB1" s="32" t="s">
        <v>79</v>
      </c>
    </row>
    <row r="2" spans="2:28" s="33" customFormat="1" x14ac:dyDescent="0.25">
      <c r="B2" s="11" t="s">
        <v>80</v>
      </c>
      <c r="C2" s="11" t="s">
        <v>538</v>
      </c>
      <c r="D2" s="11" t="s">
        <v>207</v>
      </c>
      <c r="E2" s="12">
        <v>3</v>
      </c>
      <c r="F2" s="23">
        <v>4020000</v>
      </c>
      <c r="G2" s="11">
        <v>5.2</v>
      </c>
      <c r="H2" s="23">
        <f>F2*G2</f>
        <v>20904000</v>
      </c>
      <c r="I2" s="23">
        <f>AVERAGE(H2:H4)</f>
        <v>19032000</v>
      </c>
      <c r="J2" s="24">
        <v>201</v>
      </c>
      <c r="K2" s="12">
        <v>1.452310268333197</v>
      </c>
      <c r="L2" s="11" t="s">
        <v>83</v>
      </c>
      <c r="M2" s="11" t="s">
        <v>84</v>
      </c>
      <c r="N2" s="12">
        <v>0.1</v>
      </c>
      <c r="O2" s="12">
        <v>2</v>
      </c>
      <c r="P2" s="11" t="s">
        <v>85</v>
      </c>
      <c r="Q2" s="11" t="s">
        <v>86</v>
      </c>
      <c r="R2" s="11" t="s">
        <v>391</v>
      </c>
      <c r="S2" s="11" t="s">
        <v>88</v>
      </c>
      <c r="T2" s="11" t="s">
        <v>89</v>
      </c>
      <c r="U2" s="11" t="s">
        <v>90</v>
      </c>
      <c r="V2" s="11" t="s">
        <v>83</v>
      </c>
      <c r="W2" s="11" t="s">
        <v>82</v>
      </c>
      <c r="X2" s="12">
        <v>0</v>
      </c>
      <c r="Y2" s="12">
        <v>0</v>
      </c>
      <c r="Z2" s="24">
        <v>20</v>
      </c>
      <c r="AA2" s="33" t="s">
        <v>539</v>
      </c>
      <c r="AB2" s="33" t="s">
        <v>92</v>
      </c>
    </row>
    <row r="3" spans="2:28" x14ac:dyDescent="0.25">
      <c r="B3" s="11" t="s">
        <v>103</v>
      </c>
      <c r="C3" s="11" t="s">
        <v>540</v>
      </c>
      <c r="D3" s="11" t="s">
        <v>212</v>
      </c>
      <c r="E3" s="12">
        <v>3</v>
      </c>
      <c r="F3" s="23">
        <v>3220000</v>
      </c>
      <c r="G3" s="11">
        <v>5.2</v>
      </c>
      <c r="H3" s="23">
        <f>F3*G3</f>
        <v>16744000</v>
      </c>
      <c r="J3" s="24">
        <v>161</v>
      </c>
      <c r="K3" s="12">
        <v>1.5421612015039285</v>
      </c>
      <c r="L3" s="11" t="s">
        <v>83</v>
      </c>
      <c r="M3" s="11" t="s">
        <v>84</v>
      </c>
      <c r="N3" s="12">
        <v>0.1</v>
      </c>
      <c r="O3" s="12">
        <v>2</v>
      </c>
      <c r="P3" s="11" t="s">
        <v>85</v>
      </c>
      <c r="Q3" s="11" t="s">
        <v>86</v>
      </c>
      <c r="R3" s="11" t="s">
        <v>391</v>
      </c>
      <c r="S3" s="11" t="s">
        <v>88</v>
      </c>
      <c r="T3" s="11" t="s">
        <v>89</v>
      </c>
      <c r="U3" s="11" t="s">
        <v>90</v>
      </c>
      <c r="V3" s="11" t="s">
        <v>83</v>
      </c>
      <c r="W3" s="11" t="s">
        <v>82</v>
      </c>
      <c r="X3" s="12">
        <v>0</v>
      </c>
      <c r="Y3" s="12">
        <v>0</v>
      </c>
      <c r="Z3" s="24">
        <v>20</v>
      </c>
      <c r="AA3" t="s">
        <v>541</v>
      </c>
      <c r="AB3" t="s">
        <v>92</v>
      </c>
    </row>
    <row r="4" spans="2:28" x14ac:dyDescent="0.25">
      <c r="B4" s="11" t="s">
        <v>114</v>
      </c>
      <c r="C4" s="11" t="s">
        <v>542</v>
      </c>
      <c r="D4" s="11" t="s">
        <v>215</v>
      </c>
      <c r="E4" s="12">
        <v>3</v>
      </c>
      <c r="F4" s="23">
        <v>3740000</v>
      </c>
      <c r="G4" s="11">
        <v>5.2</v>
      </c>
      <c r="H4" s="23">
        <f>F4*G4</f>
        <v>19448000</v>
      </c>
      <c r="J4" s="24">
        <v>187</v>
      </c>
      <c r="K4" s="12">
        <v>1.4249438651492816</v>
      </c>
      <c r="L4" s="11" t="s">
        <v>83</v>
      </c>
      <c r="M4" s="11" t="s">
        <v>84</v>
      </c>
      <c r="N4" s="12">
        <v>0.1</v>
      </c>
      <c r="O4" s="12">
        <v>2</v>
      </c>
      <c r="P4" s="11" t="s">
        <v>85</v>
      </c>
      <c r="Q4" s="11" t="s">
        <v>86</v>
      </c>
      <c r="R4" s="11" t="s">
        <v>391</v>
      </c>
      <c r="S4" s="11" t="s">
        <v>88</v>
      </c>
      <c r="T4" s="11" t="s">
        <v>89</v>
      </c>
      <c r="U4" s="11" t="s">
        <v>90</v>
      </c>
      <c r="V4" s="11" t="s">
        <v>83</v>
      </c>
      <c r="W4" s="11" t="s">
        <v>82</v>
      </c>
      <c r="X4" s="12">
        <v>0</v>
      </c>
      <c r="Y4" s="12">
        <v>0</v>
      </c>
      <c r="Z4" s="24">
        <v>20</v>
      </c>
      <c r="AA4" t="s">
        <v>543</v>
      </c>
      <c r="AB4" t="s">
        <v>92</v>
      </c>
    </row>
    <row r="5" spans="2:28" x14ac:dyDescent="0.25">
      <c r="B5" s="11" t="s">
        <v>125</v>
      </c>
      <c r="C5" s="11" t="s">
        <v>248</v>
      </c>
      <c r="D5" s="11" t="s">
        <v>218</v>
      </c>
      <c r="E5" s="12">
        <v>2</v>
      </c>
      <c r="F5" s="23">
        <v>6430000</v>
      </c>
      <c r="J5" s="24">
        <v>218</v>
      </c>
      <c r="K5" s="12">
        <v>0.53164557082305763</v>
      </c>
      <c r="L5" s="11" t="s">
        <v>83</v>
      </c>
      <c r="M5" s="11" t="s">
        <v>84</v>
      </c>
      <c r="N5" s="12">
        <v>0.1</v>
      </c>
      <c r="O5" s="12">
        <v>2</v>
      </c>
      <c r="P5" s="11" t="s">
        <v>85</v>
      </c>
      <c r="Q5" s="11" t="s">
        <v>86</v>
      </c>
      <c r="R5" s="11" t="s">
        <v>391</v>
      </c>
      <c r="S5" s="11" t="s">
        <v>88</v>
      </c>
      <c r="T5" s="11" t="s">
        <v>89</v>
      </c>
      <c r="U5" s="11" t="s">
        <v>90</v>
      </c>
      <c r="V5" s="11" t="s">
        <v>83</v>
      </c>
      <c r="W5" s="11" t="s">
        <v>82</v>
      </c>
      <c r="X5" s="12">
        <v>0</v>
      </c>
      <c r="Y5" s="12">
        <v>0</v>
      </c>
      <c r="Z5" s="24">
        <v>20</v>
      </c>
      <c r="AA5" t="s">
        <v>544</v>
      </c>
      <c r="AB5" t="s">
        <v>92</v>
      </c>
    </row>
    <row r="6" spans="2:28" x14ac:dyDescent="0.25">
      <c r="B6" s="11" t="s">
        <v>136</v>
      </c>
      <c r="C6" s="11" t="s">
        <v>545</v>
      </c>
      <c r="D6" s="11" t="s">
        <v>227</v>
      </c>
      <c r="E6" s="12">
        <v>2</v>
      </c>
      <c r="F6" s="23">
        <v>4400000</v>
      </c>
      <c r="G6" s="11">
        <v>3.7</v>
      </c>
      <c r="H6" s="23">
        <f>F6*G6</f>
        <v>16280000</v>
      </c>
      <c r="I6" s="23">
        <f>AVERAGE(H6:H8)</f>
        <v>15293333.333333334</v>
      </c>
      <c r="J6" s="24">
        <v>177</v>
      </c>
      <c r="K6" s="12">
        <v>0.73935824563544761</v>
      </c>
      <c r="L6" s="11" t="s">
        <v>83</v>
      </c>
      <c r="M6" s="11" t="s">
        <v>84</v>
      </c>
      <c r="N6" s="12">
        <v>0.1</v>
      </c>
      <c r="O6" s="12">
        <v>2</v>
      </c>
      <c r="P6" s="11" t="s">
        <v>85</v>
      </c>
      <c r="Q6" s="11" t="s">
        <v>86</v>
      </c>
      <c r="R6" s="11" t="s">
        <v>391</v>
      </c>
      <c r="S6" s="11" t="s">
        <v>88</v>
      </c>
      <c r="T6" s="11" t="s">
        <v>89</v>
      </c>
      <c r="U6" s="11" t="s">
        <v>90</v>
      </c>
      <c r="V6" s="11" t="s">
        <v>83</v>
      </c>
      <c r="W6" s="11" t="s">
        <v>82</v>
      </c>
      <c r="X6" s="12">
        <v>0</v>
      </c>
      <c r="Y6" s="12">
        <v>0</v>
      </c>
      <c r="Z6" s="24">
        <v>20</v>
      </c>
      <c r="AA6" t="s">
        <v>546</v>
      </c>
      <c r="AB6" t="s">
        <v>92</v>
      </c>
    </row>
    <row r="7" spans="2:28" x14ac:dyDescent="0.25">
      <c r="B7" s="11" t="s">
        <v>147</v>
      </c>
      <c r="C7" s="11" t="s">
        <v>547</v>
      </c>
      <c r="D7" s="11" t="s">
        <v>230</v>
      </c>
      <c r="E7" s="12">
        <v>2</v>
      </c>
      <c r="F7" s="23">
        <v>3800000</v>
      </c>
      <c r="G7" s="11">
        <v>3.7</v>
      </c>
      <c r="H7" s="23">
        <f>F7*G7</f>
        <v>14060000</v>
      </c>
      <c r="J7" s="24">
        <v>153</v>
      </c>
      <c r="K7" s="12">
        <v>0.7274990460950802</v>
      </c>
      <c r="L7" s="11" t="s">
        <v>83</v>
      </c>
      <c r="M7" s="11" t="s">
        <v>84</v>
      </c>
      <c r="N7" s="12">
        <v>0.1</v>
      </c>
      <c r="O7" s="12">
        <v>2</v>
      </c>
      <c r="P7" s="11" t="s">
        <v>85</v>
      </c>
      <c r="Q7" s="11" t="s">
        <v>86</v>
      </c>
      <c r="R7" s="11" t="s">
        <v>391</v>
      </c>
      <c r="S7" s="11" t="s">
        <v>88</v>
      </c>
      <c r="T7" s="11" t="s">
        <v>89</v>
      </c>
      <c r="U7" s="11" t="s">
        <v>90</v>
      </c>
      <c r="V7" s="11" t="s">
        <v>83</v>
      </c>
      <c r="W7" s="11" t="s">
        <v>82</v>
      </c>
      <c r="X7" s="12">
        <v>0</v>
      </c>
      <c r="Y7" s="12">
        <v>0</v>
      </c>
      <c r="Z7" s="24">
        <v>20</v>
      </c>
      <c r="AA7" t="s">
        <v>548</v>
      </c>
      <c r="AB7" t="s">
        <v>92</v>
      </c>
    </row>
    <row r="8" spans="2:28" x14ac:dyDescent="0.25">
      <c r="B8" s="11" t="s">
        <v>158</v>
      </c>
      <c r="C8" s="11" t="s">
        <v>549</v>
      </c>
      <c r="D8" s="11" t="s">
        <v>233</v>
      </c>
      <c r="E8" s="12">
        <v>2</v>
      </c>
      <c r="F8" s="23">
        <v>4200000</v>
      </c>
      <c r="G8" s="11">
        <v>3.7</v>
      </c>
      <c r="H8" s="23">
        <f>F8*G8</f>
        <v>15540000</v>
      </c>
      <c r="J8" s="24">
        <v>169</v>
      </c>
      <c r="K8" s="12">
        <v>0.71772111017649609</v>
      </c>
      <c r="L8" s="11" t="s">
        <v>83</v>
      </c>
      <c r="M8" s="11" t="s">
        <v>84</v>
      </c>
      <c r="N8" s="12">
        <v>0.1</v>
      </c>
      <c r="O8" s="12">
        <v>2</v>
      </c>
      <c r="P8" s="11" t="s">
        <v>85</v>
      </c>
      <c r="Q8" s="11" t="s">
        <v>86</v>
      </c>
      <c r="R8" s="11" t="s">
        <v>391</v>
      </c>
      <c r="S8" s="11" t="s">
        <v>88</v>
      </c>
      <c r="T8" s="11" t="s">
        <v>89</v>
      </c>
      <c r="U8" s="11" t="s">
        <v>90</v>
      </c>
      <c r="V8" s="11" t="s">
        <v>83</v>
      </c>
      <c r="W8" s="11" t="s">
        <v>82</v>
      </c>
      <c r="X8" s="12">
        <v>0</v>
      </c>
      <c r="Y8" s="12">
        <v>0</v>
      </c>
      <c r="Z8" s="24">
        <v>20</v>
      </c>
      <c r="AA8" t="s">
        <v>550</v>
      </c>
      <c r="AB8" t="s">
        <v>92</v>
      </c>
    </row>
    <row r="9" spans="2:28" x14ac:dyDescent="0.25">
      <c r="B9" s="11" t="s">
        <v>169</v>
      </c>
      <c r="C9" s="11" t="s">
        <v>256</v>
      </c>
      <c r="D9" s="11" t="s">
        <v>224</v>
      </c>
      <c r="E9" s="12">
        <v>2</v>
      </c>
      <c r="F9" s="23">
        <v>5750000</v>
      </c>
      <c r="G9" s="11" t="s">
        <v>82</v>
      </c>
      <c r="J9" s="24">
        <v>219</v>
      </c>
      <c r="K9" s="12">
        <v>0.51017470116861241</v>
      </c>
      <c r="L9" s="11" t="s">
        <v>83</v>
      </c>
      <c r="M9" s="11" t="s">
        <v>84</v>
      </c>
      <c r="N9" s="12">
        <v>0.1</v>
      </c>
      <c r="O9" s="12">
        <v>2</v>
      </c>
      <c r="P9" s="11" t="s">
        <v>85</v>
      </c>
      <c r="Q9" s="11" t="s">
        <v>86</v>
      </c>
      <c r="R9" s="11" t="s">
        <v>391</v>
      </c>
      <c r="S9" s="11" t="s">
        <v>88</v>
      </c>
      <c r="T9" s="11" t="s">
        <v>89</v>
      </c>
      <c r="U9" s="11" t="s">
        <v>90</v>
      </c>
      <c r="V9" s="11" t="s">
        <v>83</v>
      </c>
      <c r="W9" s="11" t="s">
        <v>82</v>
      </c>
      <c r="X9" s="12">
        <v>0</v>
      </c>
      <c r="Y9" s="12">
        <v>0</v>
      </c>
      <c r="Z9" s="24">
        <v>20</v>
      </c>
      <c r="AA9" t="s">
        <v>551</v>
      </c>
      <c r="AB9" t="s">
        <v>92</v>
      </c>
    </row>
    <row r="10" spans="2:28" x14ac:dyDescent="0.25">
      <c r="B10" s="11" t="s">
        <v>180</v>
      </c>
      <c r="C10" s="11" t="s">
        <v>552</v>
      </c>
      <c r="D10" s="11" t="s">
        <v>236</v>
      </c>
      <c r="E10" s="12">
        <v>2</v>
      </c>
      <c r="F10" s="23">
        <v>3630000</v>
      </c>
      <c r="G10" s="11">
        <v>5.7</v>
      </c>
      <c r="H10" s="23">
        <f t="shared" ref="H10:H15" si="0">F10*G10</f>
        <v>20691000</v>
      </c>
      <c r="I10" s="23">
        <f>AVERAGE(H10:H12)</f>
        <v>24092000</v>
      </c>
      <c r="J10" s="24">
        <v>146</v>
      </c>
      <c r="K10" s="12">
        <v>0.74767761562850166</v>
      </c>
      <c r="L10" s="11" t="s">
        <v>83</v>
      </c>
      <c r="M10" s="11" t="s">
        <v>84</v>
      </c>
      <c r="N10" s="12">
        <v>0.1</v>
      </c>
      <c r="O10" s="12">
        <v>2</v>
      </c>
      <c r="P10" s="11" t="s">
        <v>85</v>
      </c>
      <c r="Q10" s="11" t="s">
        <v>86</v>
      </c>
      <c r="R10" s="11" t="s">
        <v>391</v>
      </c>
      <c r="S10" s="11" t="s">
        <v>88</v>
      </c>
      <c r="T10" s="11" t="s">
        <v>89</v>
      </c>
      <c r="U10" s="11" t="s">
        <v>90</v>
      </c>
      <c r="V10" s="11" t="s">
        <v>83</v>
      </c>
      <c r="W10" s="11" t="s">
        <v>82</v>
      </c>
      <c r="X10" s="12">
        <v>0</v>
      </c>
      <c r="Y10" s="12">
        <v>0</v>
      </c>
      <c r="Z10" s="24">
        <v>20</v>
      </c>
      <c r="AA10" t="s">
        <v>553</v>
      </c>
      <c r="AB10" t="s">
        <v>92</v>
      </c>
    </row>
    <row r="11" spans="2:28" x14ac:dyDescent="0.25">
      <c r="B11" s="11" t="s">
        <v>191</v>
      </c>
      <c r="C11" s="11" t="s">
        <v>554</v>
      </c>
      <c r="D11" s="11" t="s">
        <v>240</v>
      </c>
      <c r="E11" s="12">
        <v>2</v>
      </c>
      <c r="F11" s="23">
        <v>3750000</v>
      </c>
      <c r="G11" s="11">
        <v>5.7</v>
      </c>
      <c r="H11" s="23">
        <f t="shared" si="0"/>
        <v>21375000</v>
      </c>
      <c r="J11" s="24">
        <v>151</v>
      </c>
      <c r="K11" s="12">
        <v>0.64589421150666848</v>
      </c>
      <c r="L11" s="11" t="s">
        <v>83</v>
      </c>
      <c r="M11" s="11" t="s">
        <v>84</v>
      </c>
      <c r="N11" s="12">
        <v>0.1</v>
      </c>
      <c r="O11" s="12">
        <v>2</v>
      </c>
      <c r="P11" s="11" t="s">
        <v>85</v>
      </c>
      <c r="Q11" s="11" t="s">
        <v>86</v>
      </c>
      <c r="R11" s="11" t="s">
        <v>391</v>
      </c>
      <c r="S11" s="11" t="s">
        <v>88</v>
      </c>
      <c r="T11" s="11" t="s">
        <v>89</v>
      </c>
      <c r="U11" s="11" t="s">
        <v>90</v>
      </c>
      <c r="V11" s="11" t="s">
        <v>83</v>
      </c>
      <c r="W11" s="11" t="s">
        <v>82</v>
      </c>
      <c r="X11" s="12">
        <v>0</v>
      </c>
      <c r="Y11" s="12">
        <v>0</v>
      </c>
      <c r="Z11" s="24">
        <v>20</v>
      </c>
      <c r="AA11" t="s">
        <v>555</v>
      </c>
      <c r="AB11" t="s">
        <v>92</v>
      </c>
    </row>
    <row r="12" spans="2:28" x14ac:dyDescent="0.25">
      <c r="B12" s="11" t="s">
        <v>238</v>
      </c>
      <c r="C12" s="11" t="s">
        <v>556</v>
      </c>
      <c r="D12" s="11" t="s">
        <v>244</v>
      </c>
      <c r="E12" s="12">
        <v>2</v>
      </c>
      <c r="F12" s="23">
        <v>5300000</v>
      </c>
      <c r="G12" s="11">
        <v>5.7</v>
      </c>
      <c r="H12" s="23">
        <f t="shared" si="0"/>
        <v>30210000</v>
      </c>
      <c r="J12" s="24">
        <v>213</v>
      </c>
      <c r="K12" s="12">
        <v>0.62065891679378515</v>
      </c>
      <c r="L12" s="11" t="s">
        <v>83</v>
      </c>
      <c r="M12" s="11" t="s">
        <v>84</v>
      </c>
      <c r="N12" s="12">
        <v>0.1</v>
      </c>
      <c r="O12" s="12">
        <v>2</v>
      </c>
      <c r="P12" s="11" t="s">
        <v>85</v>
      </c>
      <c r="Q12" s="11" t="s">
        <v>86</v>
      </c>
      <c r="R12" s="11" t="s">
        <v>391</v>
      </c>
      <c r="S12" s="11" t="s">
        <v>88</v>
      </c>
      <c r="T12" s="11" t="s">
        <v>89</v>
      </c>
      <c r="U12" s="11" t="s">
        <v>90</v>
      </c>
      <c r="V12" s="11" t="s">
        <v>83</v>
      </c>
      <c r="W12" s="11" t="s">
        <v>82</v>
      </c>
      <c r="X12" s="12">
        <v>0</v>
      </c>
      <c r="Y12" s="12">
        <v>0</v>
      </c>
      <c r="Z12" s="24">
        <v>20</v>
      </c>
      <c r="AA12" t="s">
        <v>557</v>
      </c>
      <c r="AB12" t="s">
        <v>92</v>
      </c>
    </row>
    <row r="13" spans="2:28" x14ac:dyDescent="0.25">
      <c r="B13" s="11" t="s">
        <v>242</v>
      </c>
      <c r="C13" s="11" t="s">
        <v>558</v>
      </c>
      <c r="D13" s="11" t="s">
        <v>416</v>
      </c>
      <c r="E13" s="12">
        <v>0</v>
      </c>
      <c r="F13" s="23">
        <v>50700</v>
      </c>
      <c r="G13" s="11">
        <v>4.3</v>
      </c>
      <c r="H13" s="23">
        <f t="shared" si="0"/>
        <v>218010</v>
      </c>
      <c r="I13" s="23">
        <f>AVERAGE(H13:H15)</f>
        <v>179596.66666666666</v>
      </c>
      <c r="J13" s="24">
        <v>204</v>
      </c>
      <c r="K13" s="12">
        <v>0.52357563813763053</v>
      </c>
      <c r="L13" s="11" t="s">
        <v>83</v>
      </c>
      <c r="M13" s="11" t="s">
        <v>84</v>
      </c>
      <c r="N13" s="12">
        <v>0.1</v>
      </c>
      <c r="O13" s="12">
        <v>2</v>
      </c>
      <c r="P13" s="11" t="s">
        <v>85</v>
      </c>
      <c r="Q13" s="11" t="s">
        <v>86</v>
      </c>
      <c r="R13" s="11" t="s">
        <v>391</v>
      </c>
      <c r="S13" s="11" t="s">
        <v>88</v>
      </c>
      <c r="T13" s="11" t="s">
        <v>89</v>
      </c>
      <c r="U13" s="11" t="s">
        <v>90</v>
      </c>
      <c r="V13" s="11" t="s">
        <v>83</v>
      </c>
      <c r="W13" s="11" t="s">
        <v>82</v>
      </c>
      <c r="X13" s="12">
        <v>0</v>
      </c>
      <c r="Y13" s="12">
        <v>0</v>
      </c>
      <c r="Z13" s="24">
        <v>20</v>
      </c>
      <c r="AA13" t="s">
        <v>559</v>
      </c>
      <c r="AB13" t="s">
        <v>92</v>
      </c>
    </row>
    <row r="14" spans="2:28" x14ac:dyDescent="0.25">
      <c r="B14" s="11" t="s">
        <v>247</v>
      </c>
      <c r="C14" s="11" t="s">
        <v>560</v>
      </c>
      <c r="D14" s="11" t="s">
        <v>419</v>
      </c>
      <c r="E14" s="12">
        <v>0</v>
      </c>
      <c r="F14" s="23">
        <v>35300</v>
      </c>
      <c r="G14" s="11">
        <v>4.3</v>
      </c>
      <c r="H14" s="23">
        <f t="shared" si="0"/>
        <v>151790</v>
      </c>
      <c r="J14" s="24">
        <v>142</v>
      </c>
      <c r="K14" s="12">
        <v>0.77503207211930913</v>
      </c>
      <c r="L14" s="11" t="s">
        <v>83</v>
      </c>
      <c r="M14" s="11" t="s">
        <v>84</v>
      </c>
      <c r="N14" s="12">
        <v>0.1</v>
      </c>
      <c r="O14" s="12">
        <v>2</v>
      </c>
      <c r="P14" s="11" t="s">
        <v>85</v>
      </c>
      <c r="Q14" s="11" t="s">
        <v>86</v>
      </c>
      <c r="R14" s="11" t="s">
        <v>391</v>
      </c>
      <c r="S14" s="11" t="s">
        <v>88</v>
      </c>
      <c r="T14" s="11" t="s">
        <v>89</v>
      </c>
      <c r="U14" s="11" t="s">
        <v>90</v>
      </c>
      <c r="V14" s="11" t="s">
        <v>83</v>
      </c>
      <c r="W14" s="11" t="s">
        <v>82</v>
      </c>
      <c r="X14" s="12">
        <v>0</v>
      </c>
      <c r="Y14" s="12">
        <v>0</v>
      </c>
      <c r="Z14" s="24">
        <v>20</v>
      </c>
      <c r="AA14" t="s">
        <v>561</v>
      </c>
      <c r="AB14" t="s">
        <v>92</v>
      </c>
    </row>
    <row r="15" spans="2:28" x14ac:dyDescent="0.25">
      <c r="B15" s="11" t="s">
        <v>260</v>
      </c>
      <c r="C15" s="11" t="s">
        <v>562</v>
      </c>
      <c r="D15" s="11" t="s">
        <v>423</v>
      </c>
      <c r="E15" s="12">
        <v>0</v>
      </c>
      <c r="F15" s="23">
        <v>39300</v>
      </c>
      <c r="G15" s="11">
        <v>4.3</v>
      </c>
      <c r="H15" s="23">
        <f t="shared" si="0"/>
        <v>168990</v>
      </c>
      <c r="J15" s="24">
        <v>158</v>
      </c>
      <c r="K15" s="12">
        <v>0.83791287440049889</v>
      </c>
      <c r="L15" s="11" t="s">
        <v>83</v>
      </c>
      <c r="M15" s="11" t="s">
        <v>84</v>
      </c>
      <c r="N15" s="12">
        <v>0.1</v>
      </c>
      <c r="O15" s="12">
        <v>2</v>
      </c>
      <c r="P15" s="11" t="s">
        <v>85</v>
      </c>
      <c r="Q15" s="11" t="s">
        <v>86</v>
      </c>
      <c r="R15" s="11" t="s">
        <v>391</v>
      </c>
      <c r="S15" s="11" t="s">
        <v>88</v>
      </c>
      <c r="T15" s="11" t="s">
        <v>89</v>
      </c>
      <c r="U15" s="11" t="s">
        <v>90</v>
      </c>
      <c r="V15" s="11" t="s">
        <v>83</v>
      </c>
      <c r="W15" s="11" t="s">
        <v>82</v>
      </c>
      <c r="X15" s="12">
        <v>0</v>
      </c>
      <c r="Y15" s="12">
        <v>0</v>
      </c>
      <c r="Z15" s="24">
        <v>20</v>
      </c>
      <c r="AA15" t="s">
        <v>563</v>
      </c>
      <c r="AB15" t="s">
        <v>92</v>
      </c>
    </row>
    <row r="16" spans="2:28" x14ac:dyDescent="0.25">
      <c r="B16" s="11" t="s">
        <v>421</v>
      </c>
      <c r="C16" s="11" t="s">
        <v>269</v>
      </c>
      <c r="D16" s="11" t="s">
        <v>270</v>
      </c>
      <c r="E16" s="12">
        <v>0</v>
      </c>
      <c r="F16" s="23">
        <v>84000</v>
      </c>
      <c r="G16" s="11" t="s">
        <v>82</v>
      </c>
      <c r="J16" s="24">
        <v>204</v>
      </c>
      <c r="K16" s="12">
        <v>0.49652341500609509</v>
      </c>
      <c r="L16" s="11" t="s">
        <v>83</v>
      </c>
      <c r="M16" s="11" t="s">
        <v>84</v>
      </c>
      <c r="N16" s="12">
        <v>0.1</v>
      </c>
      <c r="O16" s="12">
        <v>2</v>
      </c>
      <c r="P16" s="11" t="s">
        <v>85</v>
      </c>
      <c r="Q16" s="11" t="s">
        <v>86</v>
      </c>
      <c r="R16" s="11" t="s">
        <v>391</v>
      </c>
      <c r="S16" s="11" t="s">
        <v>88</v>
      </c>
      <c r="T16" s="11" t="s">
        <v>89</v>
      </c>
      <c r="U16" s="11" t="s">
        <v>90</v>
      </c>
      <c r="V16" s="11" t="s">
        <v>83</v>
      </c>
      <c r="W16" s="11" t="s">
        <v>82</v>
      </c>
      <c r="X16" s="12">
        <v>0</v>
      </c>
      <c r="Y16" s="12">
        <v>0</v>
      </c>
      <c r="Z16" s="24">
        <v>20</v>
      </c>
      <c r="AA16" t="s">
        <v>564</v>
      </c>
      <c r="AB16" t="s">
        <v>92</v>
      </c>
    </row>
    <row r="17" spans="1:28" x14ac:dyDescent="0.25">
      <c r="B17" s="11" t="s">
        <v>425</v>
      </c>
      <c r="C17" s="11" t="s">
        <v>265</v>
      </c>
      <c r="D17" s="11" t="s">
        <v>266</v>
      </c>
      <c r="E17" s="12">
        <v>0</v>
      </c>
      <c r="F17" s="23">
        <v>85800</v>
      </c>
      <c r="G17" s="11" t="s">
        <v>82</v>
      </c>
      <c r="J17" s="24">
        <v>224</v>
      </c>
      <c r="K17" s="12">
        <v>0.56812026443843089</v>
      </c>
      <c r="L17" s="11" t="s">
        <v>83</v>
      </c>
      <c r="M17" s="11" t="s">
        <v>84</v>
      </c>
      <c r="N17" s="12">
        <v>0.1</v>
      </c>
      <c r="O17" s="12">
        <v>2</v>
      </c>
      <c r="P17" s="11" t="s">
        <v>85</v>
      </c>
      <c r="Q17" s="11" t="s">
        <v>86</v>
      </c>
      <c r="R17" s="11" t="s">
        <v>391</v>
      </c>
      <c r="S17" s="11" t="s">
        <v>88</v>
      </c>
      <c r="T17" s="11" t="s">
        <v>89</v>
      </c>
      <c r="U17" s="11" t="s">
        <v>90</v>
      </c>
      <c r="V17" s="11" t="s">
        <v>83</v>
      </c>
      <c r="W17" s="11" t="s">
        <v>82</v>
      </c>
      <c r="X17" s="12">
        <v>0</v>
      </c>
      <c r="Y17" s="12">
        <v>0</v>
      </c>
      <c r="Z17" s="24">
        <v>20</v>
      </c>
      <c r="AA17" t="s">
        <v>565</v>
      </c>
      <c r="AB17" t="s">
        <v>92</v>
      </c>
    </row>
    <row r="18" spans="1:28" x14ac:dyDescent="0.25">
      <c r="B18" s="11" t="s">
        <v>428</v>
      </c>
      <c r="C18" s="11" t="s">
        <v>566</v>
      </c>
      <c r="D18" s="11" t="s">
        <v>436</v>
      </c>
      <c r="E18" s="12">
        <v>0</v>
      </c>
      <c r="F18" s="23">
        <v>45500</v>
      </c>
      <c r="G18" s="11">
        <v>4.5</v>
      </c>
      <c r="H18" s="23">
        <f t="shared" ref="H18:H29" si="1">F18*G18</f>
        <v>204750</v>
      </c>
      <c r="I18" s="23">
        <f>AVERAGE(H18:H20)</f>
        <v>199500</v>
      </c>
      <c r="J18" s="24">
        <v>183</v>
      </c>
      <c r="K18" s="12">
        <v>0.43260929274857074</v>
      </c>
      <c r="L18" s="11" t="s">
        <v>83</v>
      </c>
      <c r="M18" s="11" t="s">
        <v>84</v>
      </c>
      <c r="N18" s="12">
        <v>0.1</v>
      </c>
      <c r="O18" s="12">
        <v>2</v>
      </c>
      <c r="P18" s="11" t="s">
        <v>85</v>
      </c>
      <c r="Q18" s="11" t="s">
        <v>86</v>
      </c>
      <c r="R18" s="11" t="s">
        <v>391</v>
      </c>
      <c r="S18" s="11" t="s">
        <v>88</v>
      </c>
      <c r="T18" s="11" t="s">
        <v>89</v>
      </c>
      <c r="U18" s="11" t="s">
        <v>90</v>
      </c>
      <c r="V18" s="11" t="s">
        <v>83</v>
      </c>
      <c r="W18" s="11" t="s">
        <v>82</v>
      </c>
      <c r="X18" s="12">
        <v>0</v>
      </c>
      <c r="Y18" s="12">
        <v>0</v>
      </c>
      <c r="Z18" s="24">
        <v>20</v>
      </c>
      <c r="AA18" t="s">
        <v>567</v>
      </c>
      <c r="AB18" t="s">
        <v>92</v>
      </c>
    </row>
    <row r="19" spans="1:28" x14ac:dyDescent="0.25">
      <c r="B19" s="11" t="s">
        <v>431</v>
      </c>
      <c r="C19" s="11" t="s">
        <v>568</v>
      </c>
      <c r="D19" s="11" t="s">
        <v>440</v>
      </c>
      <c r="E19" s="12">
        <v>0</v>
      </c>
      <c r="F19" s="23">
        <v>45000</v>
      </c>
      <c r="G19" s="11">
        <v>4.5</v>
      </c>
      <c r="H19" s="23">
        <f t="shared" si="1"/>
        <v>202500</v>
      </c>
      <c r="J19" s="24">
        <v>181</v>
      </c>
      <c r="K19" s="12">
        <v>0.60318014062857328</v>
      </c>
      <c r="L19" s="11" t="s">
        <v>83</v>
      </c>
      <c r="M19" s="11" t="s">
        <v>84</v>
      </c>
      <c r="N19" s="12">
        <v>0.1</v>
      </c>
      <c r="O19" s="12">
        <v>2</v>
      </c>
      <c r="P19" s="11" t="s">
        <v>85</v>
      </c>
      <c r="Q19" s="11" t="s">
        <v>86</v>
      </c>
      <c r="R19" s="11" t="s">
        <v>391</v>
      </c>
      <c r="S19" s="11" t="s">
        <v>88</v>
      </c>
      <c r="T19" s="11" t="s">
        <v>89</v>
      </c>
      <c r="U19" s="11" t="s">
        <v>90</v>
      </c>
      <c r="V19" s="11" t="s">
        <v>83</v>
      </c>
      <c r="W19" s="11" t="s">
        <v>82</v>
      </c>
      <c r="X19" s="12">
        <v>0</v>
      </c>
      <c r="Y19" s="12">
        <v>0</v>
      </c>
      <c r="Z19" s="24">
        <v>20</v>
      </c>
      <c r="AA19" t="s">
        <v>569</v>
      </c>
      <c r="AB19" t="s">
        <v>92</v>
      </c>
    </row>
    <row r="20" spans="1:28" x14ac:dyDescent="0.25">
      <c r="B20" s="11" t="s">
        <v>434</v>
      </c>
      <c r="C20" s="11" t="s">
        <v>570</v>
      </c>
      <c r="D20" s="11" t="s">
        <v>444</v>
      </c>
      <c r="E20" s="12">
        <v>0</v>
      </c>
      <c r="F20" s="23">
        <v>42500</v>
      </c>
      <c r="G20" s="11">
        <v>4.5</v>
      </c>
      <c r="H20" s="23">
        <f t="shared" si="1"/>
        <v>191250</v>
      </c>
      <c r="J20" s="24">
        <v>171</v>
      </c>
      <c r="K20" s="12">
        <v>0.85732611901380407</v>
      </c>
      <c r="L20" s="11" t="s">
        <v>83</v>
      </c>
      <c r="M20" s="11" t="s">
        <v>84</v>
      </c>
      <c r="N20" s="12">
        <v>0.1</v>
      </c>
      <c r="O20" s="12">
        <v>2</v>
      </c>
      <c r="P20" s="11" t="s">
        <v>85</v>
      </c>
      <c r="Q20" s="11" t="s">
        <v>86</v>
      </c>
      <c r="R20" s="11" t="s">
        <v>391</v>
      </c>
      <c r="S20" s="11" t="s">
        <v>88</v>
      </c>
      <c r="T20" s="11" t="s">
        <v>89</v>
      </c>
      <c r="U20" s="11" t="s">
        <v>90</v>
      </c>
      <c r="V20" s="11" t="s">
        <v>83</v>
      </c>
      <c r="W20" s="11" t="s">
        <v>82</v>
      </c>
      <c r="X20" s="12">
        <v>0</v>
      </c>
      <c r="Y20" s="12">
        <v>0</v>
      </c>
      <c r="Z20" s="24">
        <v>20</v>
      </c>
      <c r="AA20" t="s">
        <v>571</v>
      </c>
      <c r="AB20" t="s">
        <v>92</v>
      </c>
    </row>
    <row r="21" spans="1:28" x14ac:dyDescent="0.25">
      <c r="B21" s="11" t="s">
        <v>438</v>
      </c>
      <c r="C21" s="11" t="s">
        <v>572</v>
      </c>
      <c r="D21" s="11" t="s">
        <v>448</v>
      </c>
      <c r="E21" s="12">
        <v>0</v>
      </c>
      <c r="F21" s="23">
        <v>34300</v>
      </c>
      <c r="G21" s="11">
        <v>4.4000000000000004</v>
      </c>
      <c r="H21" s="23">
        <f t="shared" si="1"/>
        <v>150920</v>
      </c>
      <c r="I21" s="23">
        <f>AVERAGE(H21:H23)</f>
        <v>131413.33333333334</v>
      </c>
      <c r="J21" s="24">
        <v>138</v>
      </c>
      <c r="K21" s="12">
        <v>0.65023399698322182</v>
      </c>
      <c r="L21" s="11" t="s">
        <v>83</v>
      </c>
      <c r="M21" s="11" t="s">
        <v>84</v>
      </c>
      <c r="N21" s="12">
        <v>0.1</v>
      </c>
      <c r="O21" s="12">
        <v>2</v>
      </c>
      <c r="P21" s="11" t="s">
        <v>85</v>
      </c>
      <c r="Q21" s="11" t="s">
        <v>86</v>
      </c>
      <c r="R21" s="11" t="s">
        <v>391</v>
      </c>
      <c r="S21" s="11" t="s">
        <v>88</v>
      </c>
      <c r="T21" s="11" t="s">
        <v>89</v>
      </c>
      <c r="U21" s="11" t="s">
        <v>90</v>
      </c>
      <c r="V21" s="11" t="s">
        <v>83</v>
      </c>
      <c r="W21" s="11" t="s">
        <v>82</v>
      </c>
      <c r="X21" s="12">
        <v>0</v>
      </c>
      <c r="Y21" s="12">
        <v>0</v>
      </c>
      <c r="Z21" s="24">
        <v>20</v>
      </c>
      <c r="AA21" t="s">
        <v>573</v>
      </c>
      <c r="AB21" t="s">
        <v>92</v>
      </c>
    </row>
    <row r="22" spans="1:28" x14ac:dyDescent="0.25">
      <c r="B22" s="11" t="s">
        <v>442</v>
      </c>
      <c r="C22" s="11" t="s">
        <v>574</v>
      </c>
      <c r="D22" s="11" t="s">
        <v>452</v>
      </c>
      <c r="E22" s="12">
        <v>0</v>
      </c>
      <c r="F22" s="23">
        <v>16400</v>
      </c>
      <c r="G22" s="11">
        <v>4.4000000000000004</v>
      </c>
      <c r="H22" s="23">
        <f t="shared" si="1"/>
        <v>72160</v>
      </c>
      <c r="J22" s="24">
        <v>66</v>
      </c>
      <c r="K22" s="12">
        <v>1.278815473728337</v>
      </c>
      <c r="L22" s="11" t="s">
        <v>83</v>
      </c>
      <c r="M22" s="11" t="s">
        <v>84</v>
      </c>
      <c r="N22" s="12">
        <v>0.1</v>
      </c>
      <c r="O22" s="12">
        <v>2</v>
      </c>
      <c r="P22" s="11" t="s">
        <v>85</v>
      </c>
      <c r="Q22" s="11" t="s">
        <v>86</v>
      </c>
      <c r="R22" s="11" t="s">
        <v>391</v>
      </c>
      <c r="S22" s="11" t="s">
        <v>88</v>
      </c>
      <c r="T22" s="11" t="s">
        <v>89</v>
      </c>
      <c r="U22" s="11" t="s">
        <v>90</v>
      </c>
      <c r="V22" s="11" t="s">
        <v>83</v>
      </c>
      <c r="W22" s="11" t="s">
        <v>82</v>
      </c>
      <c r="X22" s="12">
        <v>0</v>
      </c>
      <c r="Y22" s="12">
        <v>0</v>
      </c>
      <c r="Z22" s="24">
        <v>20</v>
      </c>
      <c r="AA22" t="s">
        <v>575</v>
      </c>
      <c r="AB22" t="s">
        <v>92</v>
      </c>
    </row>
    <row r="23" spans="1:28" x14ac:dyDescent="0.25">
      <c r="B23" s="11" t="s">
        <v>446</v>
      </c>
      <c r="C23" s="11" t="s">
        <v>576</v>
      </c>
      <c r="D23" s="11" t="s">
        <v>456</v>
      </c>
      <c r="E23" s="12">
        <v>0</v>
      </c>
      <c r="F23" s="23">
        <v>38900</v>
      </c>
      <c r="G23" s="11">
        <v>4.4000000000000004</v>
      </c>
      <c r="H23" s="23">
        <f t="shared" si="1"/>
        <v>171160</v>
      </c>
      <c r="J23" s="24">
        <v>241</v>
      </c>
      <c r="K23" s="12">
        <v>0.56159928519189894</v>
      </c>
      <c r="L23" s="11" t="s">
        <v>83</v>
      </c>
      <c r="M23" s="11" t="s">
        <v>84</v>
      </c>
      <c r="N23" s="12">
        <v>0.1</v>
      </c>
      <c r="O23" s="12">
        <v>2</v>
      </c>
      <c r="P23" s="11" t="s">
        <v>85</v>
      </c>
      <c r="Q23" s="11" t="s">
        <v>86</v>
      </c>
      <c r="R23" s="11" t="s">
        <v>391</v>
      </c>
      <c r="S23" s="11" t="s">
        <v>88</v>
      </c>
      <c r="T23" s="11" t="s">
        <v>89</v>
      </c>
      <c r="U23" s="11" t="s">
        <v>90</v>
      </c>
      <c r="V23" s="11" t="s">
        <v>83</v>
      </c>
      <c r="W23" s="11" t="s">
        <v>82</v>
      </c>
      <c r="X23" s="12">
        <v>0</v>
      </c>
      <c r="Y23" s="12">
        <v>0</v>
      </c>
      <c r="Z23" s="24">
        <v>20</v>
      </c>
      <c r="AA23" t="s">
        <v>577</v>
      </c>
      <c r="AB23" t="s">
        <v>92</v>
      </c>
    </row>
    <row r="24" spans="1:28" x14ac:dyDescent="0.25">
      <c r="B24" s="11" t="s">
        <v>450</v>
      </c>
      <c r="C24" s="11" t="s">
        <v>578</v>
      </c>
      <c r="D24" s="11" t="s">
        <v>460</v>
      </c>
      <c r="E24" s="12">
        <v>0</v>
      </c>
      <c r="F24" s="23">
        <v>95100</v>
      </c>
      <c r="G24" s="11">
        <v>4.8</v>
      </c>
      <c r="H24" s="23">
        <f t="shared" si="1"/>
        <v>456480</v>
      </c>
      <c r="I24" s="23">
        <f>AVERAGE(H24:H26)</f>
        <v>327840</v>
      </c>
      <c r="J24" s="24">
        <v>231</v>
      </c>
      <c r="K24" s="12">
        <v>0.55495465474779826</v>
      </c>
      <c r="L24" s="11" t="s">
        <v>83</v>
      </c>
      <c r="M24" s="11" t="s">
        <v>84</v>
      </c>
      <c r="N24" s="12">
        <v>0.1</v>
      </c>
      <c r="O24" s="12">
        <v>2</v>
      </c>
      <c r="P24" s="11" t="s">
        <v>85</v>
      </c>
      <c r="Q24" s="11" t="s">
        <v>86</v>
      </c>
      <c r="R24" s="11" t="s">
        <v>391</v>
      </c>
      <c r="S24" s="11" t="s">
        <v>88</v>
      </c>
      <c r="T24" s="11" t="s">
        <v>89</v>
      </c>
      <c r="U24" s="11" t="s">
        <v>90</v>
      </c>
      <c r="V24" s="11" t="s">
        <v>83</v>
      </c>
      <c r="W24" s="11" t="s">
        <v>82</v>
      </c>
      <c r="X24" s="12">
        <v>0</v>
      </c>
      <c r="Y24" s="12">
        <v>0</v>
      </c>
      <c r="Z24" s="24">
        <v>20</v>
      </c>
      <c r="AA24" t="s">
        <v>579</v>
      </c>
      <c r="AB24" t="s">
        <v>92</v>
      </c>
    </row>
    <row r="25" spans="1:28" x14ac:dyDescent="0.25">
      <c r="B25" s="11" t="s">
        <v>454</v>
      </c>
      <c r="C25" s="11" t="s">
        <v>580</v>
      </c>
      <c r="D25" s="11" t="s">
        <v>464</v>
      </c>
      <c r="E25" s="12">
        <v>0</v>
      </c>
      <c r="F25" s="23">
        <v>58600</v>
      </c>
      <c r="G25" s="11">
        <v>4.8</v>
      </c>
      <c r="H25" s="23">
        <f t="shared" si="1"/>
        <v>281280</v>
      </c>
      <c r="J25" s="24">
        <v>223</v>
      </c>
      <c r="K25" s="12">
        <v>0.60005693590538833</v>
      </c>
      <c r="L25" s="11" t="s">
        <v>83</v>
      </c>
      <c r="M25" s="11" t="s">
        <v>84</v>
      </c>
      <c r="N25" s="12">
        <v>0.1</v>
      </c>
      <c r="O25" s="12">
        <v>2</v>
      </c>
      <c r="P25" s="11" t="s">
        <v>85</v>
      </c>
      <c r="Q25" s="11" t="s">
        <v>86</v>
      </c>
      <c r="R25" s="11" t="s">
        <v>391</v>
      </c>
      <c r="S25" s="11" t="s">
        <v>88</v>
      </c>
      <c r="T25" s="11" t="s">
        <v>89</v>
      </c>
      <c r="U25" s="11" t="s">
        <v>90</v>
      </c>
      <c r="V25" s="11" t="s">
        <v>83</v>
      </c>
      <c r="W25" s="11" t="s">
        <v>82</v>
      </c>
      <c r="X25" s="12">
        <v>0</v>
      </c>
      <c r="Y25" s="12">
        <v>0</v>
      </c>
      <c r="Z25" s="24">
        <v>20</v>
      </c>
      <c r="AA25" t="s">
        <v>581</v>
      </c>
      <c r="AB25" t="s">
        <v>92</v>
      </c>
    </row>
    <row r="26" spans="1:28" x14ac:dyDescent="0.25">
      <c r="B26" s="11" t="s">
        <v>458</v>
      </c>
      <c r="C26" s="11" t="s">
        <v>582</v>
      </c>
      <c r="D26" s="11" t="s">
        <v>468</v>
      </c>
      <c r="E26" s="12">
        <v>0</v>
      </c>
      <c r="F26" s="23">
        <v>51200</v>
      </c>
      <c r="G26" s="11">
        <v>4.8</v>
      </c>
      <c r="H26" s="23">
        <f t="shared" si="1"/>
        <v>245760</v>
      </c>
      <c r="J26" s="24">
        <v>206</v>
      </c>
      <c r="K26" s="12">
        <v>0.72779718866429299</v>
      </c>
      <c r="L26" s="11" t="s">
        <v>83</v>
      </c>
      <c r="M26" s="11" t="s">
        <v>84</v>
      </c>
      <c r="N26" s="12">
        <v>0.1</v>
      </c>
      <c r="O26" s="12">
        <v>2</v>
      </c>
      <c r="P26" s="11" t="s">
        <v>85</v>
      </c>
      <c r="Q26" s="11" t="s">
        <v>86</v>
      </c>
      <c r="R26" s="11" t="s">
        <v>391</v>
      </c>
      <c r="S26" s="11" t="s">
        <v>88</v>
      </c>
      <c r="T26" s="11" t="s">
        <v>89</v>
      </c>
      <c r="U26" s="11" t="s">
        <v>90</v>
      </c>
      <c r="V26" s="11" t="s">
        <v>83</v>
      </c>
      <c r="W26" s="11" t="s">
        <v>82</v>
      </c>
      <c r="X26" s="12">
        <v>0</v>
      </c>
      <c r="Y26" s="12">
        <v>0</v>
      </c>
      <c r="Z26" s="24">
        <v>20</v>
      </c>
      <c r="AA26" t="s">
        <v>583</v>
      </c>
      <c r="AB26" t="s">
        <v>92</v>
      </c>
    </row>
    <row r="27" spans="1:28" x14ac:dyDescent="0.25">
      <c r="A27" t="s">
        <v>757</v>
      </c>
      <c r="B27" s="11" t="s">
        <v>462</v>
      </c>
      <c r="C27" s="11" t="s">
        <v>584</v>
      </c>
      <c r="D27" s="11" t="s">
        <v>585</v>
      </c>
      <c r="E27" s="12">
        <v>2</v>
      </c>
      <c r="F27" s="23">
        <v>1270000</v>
      </c>
      <c r="G27" s="11">
        <v>4.9000000000000004</v>
      </c>
      <c r="H27" s="23">
        <f t="shared" si="1"/>
        <v>6223000</v>
      </c>
      <c r="I27" s="23">
        <f>AVERAGE(H27:H29)</f>
        <v>11008666.666666666</v>
      </c>
      <c r="J27" s="24">
        <v>51</v>
      </c>
      <c r="K27" s="12">
        <v>1.2714208185264573</v>
      </c>
      <c r="L27" s="11" t="s">
        <v>83</v>
      </c>
      <c r="M27" s="11" t="s">
        <v>84</v>
      </c>
      <c r="N27" s="12">
        <v>0.1</v>
      </c>
      <c r="O27" s="12">
        <v>2</v>
      </c>
      <c r="P27" s="11" t="s">
        <v>85</v>
      </c>
      <c r="Q27" s="11" t="s">
        <v>86</v>
      </c>
      <c r="R27" s="11" t="s">
        <v>391</v>
      </c>
      <c r="S27" s="11" t="s">
        <v>88</v>
      </c>
      <c r="T27" s="11" t="s">
        <v>89</v>
      </c>
      <c r="U27" s="11" t="s">
        <v>90</v>
      </c>
      <c r="V27" s="11" t="s">
        <v>83</v>
      </c>
      <c r="W27" s="11" t="s">
        <v>82</v>
      </c>
      <c r="X27" s="12">
        <v>0</v>
      </c>
      <c r="Y27" s="12">
        <v>0</v>
      </c>
      <c r="Z27" s="24">
        <v>20</v>
      </c>
      <c r="AA27" t="s">
        <v>586</v>
      </c>
      <c r="AB27" t="s">
        <v>92</v>
      </c>
    </row>
    <row r="28" spans="1:28" x14ac:dyDescent="0.25">
      <c r="B28" s="11" t="s">
        <v>466</v>
      </c>
      <c r="C28" s="11" t="s">
        <v>587</v>
      </c>
      <c r="D28" s="11" t="s">
        <v>588</v>
      </c>
      <c r="E28" s="12">
        <v>2</v>
      </c>
      <c r="F28" s="23">
        <v>2440000</v>
      </c>
      <c r="G28" s="11">
        <v>4.9000000000000004</v>
      </c>
      <c r="H28" s="23">
        <f t="shared" si="1"/>
        <v>11956000</v>
      </c>
      <c r="J28" s="24">
        <v>98</v>
      </c>
      <c r="K28" s="12">
        <v>1.122467095410119</v>
      </c>
      <c r="L28" s="11" t="s">
        <v>83</v>
      </c>
      <c r="M28" s="11" t="s">
        <v>84</v>
      </c>
      <c r="N28" s="12">
        <v>0.1</v>
      </c>
      <c r="O28" s="12">
        <v>2</v>
      </c>
      <c r="P28" s="11" t="s">
        <v>85</v>
      </c>
      <c r="Q28" s="11" t="s">
        <v>86</v>
      </c>
      <c r="R28" s="11" t="s">
        <v>391</v>
      </c>
      <c r="S28" s="11" t="s">
        <v>88</v>
      </c>
      <c r="T28" s="11" t="s">
        <v>89</v>
      </c>
      <c r="U28" s="11" t="s">
        <v>90</v>
      </c>
      <c r="V28" s="11" t="s">
        <v>83</v>
      </c>
      <c r="W28" s="11" t="s">
        <v>82</v>
      </c>
      <c r="X28" s="12">
        <v>0</v>
      </c>
      <c r="Y28" s="12">
        <v>0</v>
      </c>
      <c r="Z28" s="24">
        <v>20</v>
      </c>
      <c r="AA28" t="s">
        <v>589</v>
      </c>
      <c r="AB28" t="s">
        <v>92</v>
      </c>
    </row>
    <row r="29" spans="1:28" x14ac:dyDescent="0.25">
      <c r="B29" s="11" t="s">
        <v>590</v>
      </c>
      <c r="C29" s="11" t="s">
        <v>591</v>
      </c>
      <c r="D29" s="11" t="s">
        <v>592</v>
      </c>
      <c r="E29" s="12">
        <v>2</v>
      </c>
      <c r="F29" s="23">
        <v>3030000</v>
      </c>
      <c r="G29" s="11">
        <v>4.9000000000000004</v>
      </c>
      <c r="H29" s="23">
        <f t="shared" si="1"/>
        <v>14847000.000000002</v>
      </c>
      <c r="J29" s="24">
        <v>122</v>
      </c>
      <c r="K29" s="12">
        <v>0.72564269739493148</v>
      </c>
      <c r="L29" s="11" t="s">
        <v>83</v>
      </c>
      <c r="M29" s="11" t="s">
        <v>84</v>
      </c>
      <c r="N29" s="12">
        <v>0.1</v>
      </c>
      <c r="O29" s="12">
        <v>2</v>
      </c>
      <c r="P29" s="11" t="s">
        <v>85</v>
      </c>
      <c r="Q29" s="11" t="s">
        <v>86</v>
      </c>
      <c r="R29" s="11" t="s">
        <v>391</v>
      </c>
      <c r="S29" s="11" t="s">
        <v>88</v>
      </c>
      <c r="T29" s="11" t="s">
        <v>89</v>
      </c>
      <c r="U29" s="11" t="s">
        <v>90</v>
      </c>
      <c r="V29" s="11" t="s">
        <v>83</v>
      </c>
      <c r="W29" s="11" t="s">
        <v>82</v>
      </c>
      <c r="X29" s="12">
        <v>0</v>
      </c>
      <c r="Y29" s="12">
        <v>0</v>
      </c>
      <c r="Z29" s="24">
        <v>20</v>
      </c>
      <c r="AA29" t="s">
        <v>593</v>
      </c>
      <c r="AB29" t="s">
        <v>92</v>
      </c>
    </row>
    <row r="32" spans="1:28" x14ac:dyDescent="0.25">
      <c r="F32" s="23" t="s">
        <v>525</v>
      </c>
      <c r="G32" s="23">
        <f>AVERAGE(I6,I10,B36)</f>
        <v>22453444.444444448</v>
      </c>
      <c r="H32" s="11" t="s">
        <v>474</v>
      </c>
      <c r="I32" s="23">
        <f>AVERAGE(I13,I18,I21,I24,B39)</f>
        <v>262614</v>
      </c>
      <c r="K32" s="12" t="s">
        <v>472</v>
      </c>
      <c r="L32" s="11">
        <f>SQRT((G32/3)+(I32/5))</f>
        <v>2745.3605011876821</v>
      </c>
    </row>
    <row r="33" spans="1:17" x14ac:dyDescent="0.25">
      <c r="F33" s="23" t="s">
        <v>527</v>
      </c>
      <c r="G33" s="11">
        <f>STDEV(I6,I10,B36)</f>
        <v>6497677.7076577423</v>
      </c>
      <c r="H33" s="11" t="s">
        <v>476</v>
      </c>
      <c r="I33" s="11">
        <f>STDEV(I18,I21,I24,I13,B39)</f>
        <v>139043.3887996437</v>
      </c>
    </row>
    <row r="35" spans="1:17" x14ac:dyDescent="0.25">
      <c r="B35" s="63" t="s">
        <v>594</v>
      </c>
      <c r="C35" s="63"/>
      <c r="G35" s="11" t="s">
        <v>475</v>
      </c>
      <c r="H35" s="11">
        <f>G32-I32</f>
        <v>22190830.444444448</v>
      </c>
    </row>
    <row r="36" spans="1:17" x14ac:dyDescent="0.25">
      <c r="B36" s="11">
        <v>27975000</v>
      </c>
    </row>
    <row r="38" spans="1:17" x14ac:dyDescent="0.25">
      <c r="B38" s="63" t="s">
        <v>595</v>
      </c>
      <c r="C38" s="63"/>
    </row>
    <row r="39" spans="1:17" x14ac:dyDescent="0.25">
      <c r="B39" s="11">
        <v>474720</v>
      </c>
    </row>
    <row r="40" spans="1:17" x14ac:dyDescent="0.25">
      <c r="F40" s="67" t="s">
        <v>753</v>
      </c>
    </row>
    <row r="42" spans="1:17" x14ac:dyDescent="0.25">
      <c r="A42" t="s">
        <v>764</v>
      </c>
      <c r="D42" s="11" t="s">
        <v>765</v>
      </c>
      <c r="F42" s="23" t="s">
        <v>760</v>
      </c>
      <c r="P42" s="11" t="s">
        <v>797</v>
      </c>
    </row>
    <row r="43" spans="1:17" ht="38.25" x14ac:dyDescent="0.25">
      <c r="A43" s="5" t="s">
        <v>42</v>
      </c>
      <c r="B43" s="6" t="s">
        <v>43</v>
      </c>
      <c r="C43" s="7" t="s">
        <v>44</v>
      </c>
      <c r="D43" s="7" t="s">
        <v>45</v>
      </c>
      <c r="E43" s="8" t="s">
        <v>46</v>
      </c>
      <c r="F43" s="9" t="s">
        <v>47</v>
      </c>
      <c r="G43" s="10" t="s">
        <v>48</v>
      </c>
      <c r="H43" s="10" t="s">
        <v>781</v>
      </c>
      <c r="J43" s="11"/>
      <c r="K43" s="12" t="s">
        <v>774</v>
      </c>
      <c r="M43" s="11" t="s">
        <v>773</v>
      </c>
      <c r="N43" s="12" t="s">
        <v>472</v>
      </c>
      <c r="P43" s="106" t="s">
        <v>798</v>
      </c>
      <c r="Q43" s="11" t="s">
        <v>472</v>
      </c>
    </row>
    <row r="44" spans="1:17" ht="38.25" x14ac:dyDescent="0.25">
      <c r="A44" s="13" t="s">
        <v>746</v>
      </c>
      <c r="B44" s="14">
        <v>1</v>
      </c>
      <c r="C44" s="15"/>
      <c r="D44" s="16"/>
      <c r="E44" s="17"/>
      <c r="F44" s="15">
        <f>I2</f>
        <v>19032000</v>
      </c>
      <c r="G44" s="149" t="s">
        <v>51</v>
      </c>
      <c r="H44" s="150"/>
      <c r="J44" s="11"/>
      <c r="K44" s="12">
        <f>LOG(F44)</f>
        <v>7.2794844290292096</v>
      </c>
      <c r="M44" s="12">
        <f>(LOG(GEOMEAN(F45:F47)))-(LOG(GEOMEAN(F48:F52)))</f>
        <v>1.9647190200690909</v>
      </c>
      <c r="N44" s="90">
        <f>SQRT(VAR(K45:K47)/3+(VAR(K48:K52)/5))</f>
        <v>0.12667751485357634</v>
      </c>
      <c r="P44" s="12">
        <f>AVERAGE(K45:K47)</f>
        <v>7.3377150347361662</v>
      </c>
      <c r="Q44" s="12">
        <f>SQRT(VAR(K45:K47)/3)</f>
        <v>7.8863918583797987E-2</v>
      </c>
    </row>
    <row r="45" spans="1:17" x14ac:dyDescent="0.25">
      <c r="A45" s="148" t="s">
        <v>748</v>
      </c>
      <c r="B45" s="14">
        <v>1</v>
      </c>
      <c r="C45" s="15"/>
      <c r="D45" s="16"/>
      <c r="E45" s="17"/>
      <c r="F45" s="15">
        <f>B36</f>
        <v>27975000</v>
      </c>
      <c r="G45" s="151">
        <f>AVERAGE(F45:F47)</f>
        <v>22453444.444444448</v>
      </c>
      <c r="H45" s="170">
        <f>STDEV(F45:F47)</f>
        <v>6497677.7076577423</v>
      </c>
      <c r="J45" s="11"/>
      <c r="K45" s="12">
        <f t="shared" ref="K45:K52" si="2">LOG(F45)</f>
        <v>7.4467700952003879</v>
      </c>
    </row>
    <row r="46" spans="1:17" x14ac:dyDescent="0.25">
      <c r="A46" s="148"/>
      <c r="B46" s="14">
        <v>2</v>
      </c>
      <c r="C46" s="15"/>
      <c r="D46" s="16"/>
      <c r="E46" s="17"/>
      <c r="F46" s="15">
        <f>I6</f>
        <v>15293333.333333334</v>
      </c>
      <c r="G46" s="152"/>
      <c r="H46" s="171"/>
      <c r="I46" s="21">
        <f>G45/F44</f>
        <v>1.1797732473961984</v>
      </c>
      <c r="J46" s="22" t="s">
        <v>52</v>
      </c>
      <c r="K46" s="12">
        <f t="shared" si="2"/>
        <v>7.184502154509568</v>
      </c>
    </row>
    <row r="47" spans="1:17" x14ac:dyDescent="0.25">
      <c r="A47" s="148"/>
      <c r="B47" s="14">
        <v>3</v>
      </c>
      <c r="C47" s="15"/>
      <c r="D47" s="16"/>
      <c r="E47" s="17"/>
      <c r="F47" s="15">
        <f>I10</f>
        <v>24092000</v>
      </c>
      <c r="G47" s="152"/>
      <c r="H47" s="171"/>
      <c r="I47" s="18"/>
      <c r="J47" s="20"/>
      <c r="K47" s="12">
        <f t="shared" si="2"/>
        <v>7.3818728544985426</v>
      </c>
    </row>
    <row r="48" spans="1:17" x14ac:dyDescent="0.25">
      <c r="A48" s="148" t="s">
        <v>749</v>
      </c>
      <c r="B48" s="14">
        <v>1</v>
      </c>
      <c r="C48" s="65"/>
      <c r="D48" s="17"/>
      <c r="E48" s="15"/>
      <c r="F48" s="15">
        <f>I13</f>
        <v>179596.66666666666</v>
      </c>
      <c r="G48" s="185">
        <f>AVERAGE(F48:F52)</f>
        <v>262614</v>
      </c>
      <c r="H48" s="147">
        <f>STDEV(F48:F52)</f>
        <v>139043.3887996437</v>
      </c>
      <c r="J48" s="11"/>
      <c r="K48" s="12">
        <f t="shared" si="2"/>
        <v>5.2542982718540738</v>
      </c>
    </row>
    <row r="49" spans="1:11" x14ac:dyDescent="0.25">
      <c r="A49" s="148"/>
      <c r="B49" s="14">
        <v>2</v>
      </c>
      <c r="C49" s="65"/>
      <c r="D49" s="17"/>
      <c r="E49" s="15"/>
      <c r="F49" s="15">
        <f>B39</f>
        <v>474720</v>
      </c>
      <c r="G49" s="188"/>
      <c r="H49" s="146"/>
      <c r="J49" s="11"/>
      <c r="K49" s="12">
        <f t="shared" si="2"/>
        <v>5.6764375289727669</v>
      </c>
    </row>
    <row r="50" spans="1:11" x14ac:dyDescent="0.25">
      <c r="A50" s="148"/>
      <c r="B50" s="14">
        <v>3</v>
      </c>
      <c r="C50" s="65"/>
      <c r="D50" s="17"/>
      <c r="E50" s="15"/>
      <c r="F50" s="15">
        <f>I18</f>
        <v>199500</v>
      </c>
      <c r="G50" s="188"/>
      <c r="H50" s="146"/>
      <c r="J50" s="11"/>
      <c r="K50" s="12">
        <f t="shared" si="2"/>
        <v>5.2999429000227671</v>
      </c>
    </row>
    <row r="51" spans="1:11" x14ac:dyDescent="0.25">
      <c r="A51" s="148"/>
      <c r="B51" s="14">
        <v>4</v>
      </c>
      <c r="C51" s="65"/>
      <c r="D51" s="17"/>
      <c r="E51" s="15"/>
      <c r="F51" s="15">
        <f>I21</f>
        <v>131413.33333333334</v>
      </c>
      <c r="G51" s="188"/>
      <c r="H51" s="146"/>
      <c r="J51" s="11"/>
      <c r="K51" s="12">
        <f t="shared" si="2"/>
        <v>5.1186394314286501</v>
      </c>
    </row>
    <row r="52" spans="1:11" x14ac:dyDescent="0.25">
      <c r="A52" s="148"/>
      <c r="B52" s="14">
        <v>5</v>
      </c>
      <c r="C52" s="65"/>
      <c r="D52" s="17"/>
      <c r="E52" s="15"/>
      <c r="F52" s="15">
        <f>I24</f>
        <v>327840</v>
      </c>
      <c r="G52" s="189"/>
      <c r="H52" s="123"/>
      <c r="J52" s="11"/>
      <c r="K52" s="12">
        <f t="shared" si="2"/>
        <v>5.5156619410571199</v>
      </c>
    </row>
    <row r="58" spans="1:11" x14ac:dyDescent="0.25">
      <c r="B58" s="11" t="s">
        <v>808</v>
      </c>
      <c r="C58" s="11" t="s">
        <v>810</v>
      </c>
      <c r="D58" s="12" t="s">
        <v>809</v>
      </c>
    </row>
    <row r="59" spans="1:11" x14ac:dyDescent="0.25">
      <c r="A59" t="s">
        <v>799</v>
      </c>
      <c r="B59" s="11">
        <f>LOG(F45)</f>
        <v>7.4467700952003879</v>
      </c>
      <c r="C59" s="12">
        <f>AVERAGE(B59:B61)</f>
        <v>7.3377150347361662</v>
      </c>
      <c r="D59" s="12">
        <f>STDEV(B59:B61)</f>
        <v>0.13659631387111348</v>
      </c>
    </row>
    <row r="60" spans="1:11" x14ac:dyDescent="0.25">
      <c r="B60" s="11">
        <f t="shared" ref="B60:B66" si="3">LOG(F46)</f>
        <v>7.184502154509568</v>
      </c>
      <c r="D60" s="12"/>
    </row>
    <row r="61" spans="1:11" x14ac:dyDescent="0.25">
      <c r="B61" s="11">
        <f t="shared" si="3"/>
        <v>7.3818728544985426</v>
      </c>
      <c r="D61" s="12"/>
    </row>
    <row r="62" spans="1:11" x14ac:dyDescent="0.25">
      <c r="A62" t="s">
        <v>807</v>
      </c>
      <c r="B62" s="11">
        <f t="shared" si="3"/>
        <v>5.2542982718540738</v>
      </c>
      <c r="C62" s="11">
        <f>AVERAGE(B62:B66)</f>
        <v>5.3729960146670761</v>
      </c>
      <c r="D62" s="12">
        <f>STDEV(B62:B66)</f>
        <v>0.22167177442207359</v>
      </c>
    </row>
    <row r="63" spans="1:11" x14ac:dyDescent="0.25">
      <c r="B63" s="11">
        <f t="shared" si="3"/>
        <v>5.6764375289727669</v>
      </c>
      <c r="D63" s="12"/>
    </row>
    <row r="64" spans="1:11" x14ac:dyDescent="0.25">
      <c r="B64" s="11">
        <f t="shared" si="3"/>
        <v>5.2999429000227671</v>
      </c>
      <c r="D64" s="12"/>
    </row>
    <row r="65" spans="2:4" x14ac:dyDescent="0.25">
      <c r="B65" s="11">
        <f t="shared" si="3"/>
        <v>5.1186394314286501</v>
      </c>
      <c r="D65" s="12"/>
    </row>
    <row r="66" spans="2:4" x14ac:dyDescent="0.25">
      <c r="B66" s="11">
        <f t="shared" si="3"/>
        <v>5.5156619410571199</v>
      </c>
      <c r="D66" s="12"/>
    </row>
  </sheetData>
  <mergeCells count="7">
    <mergeCell ref="G44:H44"/>
    <mergeCell ref="A45:A47"/>
    <mergeCell ref="G45:G47"/>
    <mergeCell ref="H45:H47"/>
    <mergeCell ref="A48:A52"/>
    <mergeCell ref="G48:G52"/>
    <mergeCell ref="H48:H5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6"/>
  <sheetViews>
    <sheetView topLeftCell="A49" workbookViewId="0">
      <selection activeCell="B72" sqref="B72:B76"/>
    </sheetView>
  </sheetViews>
  <sheetFormatPr defaultRowHeight="15" x14ac:dyDescent="0.25"/>
  <cols>
    <col min="2" max="2" width="9.140625" style="11"/>
    <col min="3" max="3" width="13.42578125" style="11" bestFit="1" customWidth="1"/>
    <col min="4" max="4" width="9.140625" style="11"/>
    <col min="5" max="5" width="11.5703125" style="12" bestFit="1" customWidth="1"/>
    <col min="6" max="7" width="9.140625" style="23"/>
    <col min="8" max="8" width="11.85546875" style="11" customWidth="1"/>
    <col min="9" max="9" width="14" style="11" bestFit="1" customWidth="1"/>
    <col min="10" max="10" width="9.140625" style="24"/>
    <col min="11" max="11" width="12.5703125" style="12" customWidth="1"/>
    <col min="12" max="13" width="9.140625" style="11"/>
    <col min="14" max="15" width="9.140625" style="12"/>
    <col min="16" max="16" width="9.140625" style="11"/>
    <col min="17" max="17" width="13.28515625" style="11" customWidth="1"/>
    <col min="18" max="23" width="9.140625" style="11"/>
    <col min="24" max="25" width="9.140625" style="12"/>
    <col min="26" max="26" width="9.140625" style="24"/>
    <col min="27" max="27" width="23.140625" customWidth="1"/>
  </cols>
  <sheetData>
    <row r="1" spans="2:28" x14ac:dyDescent="0.25">
      <c r="B1" s="28" t="s">
        <v>56</v>
      </c>
      <c r="C1" s="28" t="s">
        <v>282</v>
      </c>
      <c r="D1" s="28" t="s">
        <v>57</v>
      </c>
      <c r="E1" s="29" t="s">
        <v>58</v>
      </c>
      <c r="F1" s="30" t="s">
        <v>59</v>
      </c>
      <c r="G1" s="30" t="s">
        <v>596</v>
      </c>
      <c r="H1" s="28" t="s">
        <v>47</v>
      </c>
      <c r="I1" s="28" t="s">
        <v>597</v>
      </c>
      <c r="J1" s="31" t="s">
        <v>61</v>
      </c>
      <c r="K1" s="29" t="s">
        <v>62</v>
      </c>
      <c r="L1" s="28" t="s">
        <v>63</v>
      </c>
      <c r="M1" s="28" t="s">
        <v>64</v>
      </c>
      <c r="N1" s="29" t="s">
        <v>65</v>
      </c>
      <c r="O1" s="29" t="s">
        <v>66</v>
      </c>
      <c r="P1" s="28" t="s">
        <v>67</v>
      </c>
      <c r="Q1" s="28" t="s">
        <v>68</v>
      </c>
      <c r="R1" s="28" t="s">
        <v>69</v>
      </c>
      <c r="S1" s="28" t="s">
        <v>70</v>
      </c>
      <c r="T1" s="28" t="s">
        <v>71</v>
      </c>
      <c r="U1" s="28" t="s">
        <v>72</v>
      </c>
      <c r="V1" s="28" t="s">
        <v>73</v>
      </c>
      <c r="W1" s="28" t="s">
        <v>74</v>
      </c>
      <c r="X1" s="29" t="s">
        <v>75</v>
      </c>
      <c r="Y1" s="29" t="s">
        <v>76</v>
      </c>
      <c r="Z1" s="31" t="s">
        <v>77</v>
      </c>
      <c r="AA1" s="32" t="s">
        <v>78</v>
      </c>
      <c r="AB1" s="32" t="s">
        <v>79</v>
      </c>
    </row>
    <row r="2" spans="2:28" s="33" customFormat="1" x14ac:dyDescent="0.25">
      <c r="B2" s="11" t="s">
        <v>80</v>
      </c>
      <c r="C2" s="11" t="s">
        <v>598</v>
      </c>
      <c r="D2" s="11" t="s">
        <v>599</v>
      </c>
      <c r="E2" s="12">
        <v>3</v>
      </c>
      <c r="F2" s="23">
        <v>8160000</v>
      </c>
      <c r="G2" s="11">
        <v>3.8</v>
      </c>
      <c r="H2" s="23">
        <f t="shared" ref="H2:H25" si="0">G2*F2</f>
        <v>31008000</v>
      </c>
      <c r="I2" s="23">
        <f>AVERAGE(H2:H4)</f>
        <v>32984000</v>
      </c>
      <c r="J2" s="24">
        <v>224</v>
      </c>
      <c r="K2" s="12">
        <v>1.249638915532755</v>
      </c>
      <c r="L2" s="11" t="s">
        <v>83</v>
      </c>
      <c r="M2" s="11" t="s">
        <v>84</v>
      </c>
      <c r="N2" s="12">
        <v>0.1</v>
      </c>
      <c r="O2" s="12">
        <v>2</v>
      </c>
      <c r="P2" s="11" t="s">
        <v>85</v>
      </c>
      <c r="Q2" s="11" t="s">
        <v>86</v>
      </c>
      <c r="R2" s="11" t="s">
        <v>87</v>
      </c>
      <c r="S2" s="11" t="s">
        <v>88</v>
      </c>
      <c r="T2" s="11" t="s">
        <v>89</v>
      </c>
      <c r="U2" s="11" t="s">
        <v>90</v>
      </c>
      <c r="V2" s="11" t="s">
        <v>83</v>
      </c>
      <c r="W2" s="11" t="s">
        <v>82</v>
      </c>
      <c r="X2" s="12">
        <v>1</v>
      </c>
      <c r="Y2" s="12">
        <v>0</v>
      </c>
      <c r="Z2" s="24">
        <v>20</v>
      </c>
      <c r="AA2" s="33" t="s">
        <v>600</v>
      </c>
      <c r="AB2" s="33" t="s">
        <v>92</v>
      </c>
    </row>
    <row r="3" spans="2:28" x14ac:dyDescent="0.25">
      <c r="B3" s="11" t="s">
        <v>103</v>
      </c>
      <c r="C3" s="11" t="s">
        <v>601</v>
      </c>
      <c r="D3" s="11" t="s">
        <v>602</v>
      </c>
      <c r="E3" s="12">
        <v>3</v>
      </c>
      <c r="F3" s="23">
        <v>8830000</v>
      </c>
      <c r="G3" s="11">
        <v>3.8</v>
      </c>
      <c r="H3" s="23">
        <f t="shared" si="0"/>
        <v>33554000</v>
      </c>
      <c r="J3" s="24">
        <v>223</v>
      </c>
      <c r="K3" s="12">
        <v>1.2223273933830245</v>
      </c>
      <c r="L3" s="11" t="s">
        <v>83</v>
      </c>
      <c r="M3" s="11" t="s">
        <v>84</v>
      </c>
      <c r="N3" s="12">
        <v>0.1</v>
      </c>
      <c r="O3" s="12">
        <v>2</v>
      </c>
      <c r="P3" s="11" t="s">
        <v>85</v>
      </c>
      <c r="Q3" s="11" t="s">
        <v>86</v>
      </c>
      <c r="R3" s="11" t="s">
        <v>87</v>
      </c>
      <c r="S3" s="11" t="s">
        <v>88</v>
      </c>
      <c r="T3" s="11" t="s">
        <v>89</v>
      </c>
      <c r="U3" s="11" t="s">
        <v>90</v>
      </c>
      <c r="V3" s="11" t="s">
        <v>83</v>
      </c>
      <c r="W3" s="11" t="s">
        <v>82</v>
      </c>
      <c r="X3" s="12">
        <v>1</v>
      </c>
      <c r="Y3" s="12">
        <v>0</v>
      </c>
      <c r="Z3" s="24">
        <v>20</v>
      </c>
      <c r="AA3" t="s">
        <v>603</v>
      </c>
      <c r="AB3" t="s">
        <v>92</v>
      </c>
    </row>
    <row r="4" spans="2:28" x14ac:dyDescent="0.25">
      <c r="B4" s="11" t="s">
        <v>114</v>
      </c>
      <c r="C4" s="11" t="s">
        <v>604</v>
      </c>
      <c r="D4" s="11" t="s">
        <v>605</v>
      </c>
      <c r="E4" s="12">
        <v>3</v>
      </c>
      <c r="F4" s="23">
        <v>9050000</v>
      </c>
      <c r="G4" s="11">
        <v>3.8</v>
      </c>
      <c r="H4" s="23">
        <f t="shared" si="0"/>
        <v>34390000</v>
      </c>
      <c r="J4" s="24">
        <v>222</v>
      </c>
      <c r="K4" s="12">
        <v>1.1838456146714631</v>
      </c>
      <c r="L4" s="11" t="s">
        <v>83</v>
      </c>
      <c r="M4" s="11" t="s">
        <v>84</v>
      </c>
      <c r="N4" s="12">
        <v>0.1</v>
      </c>
      <c r="O4" s="12">
        <v>2</v>
      </c>
      <c r="P4" s="11" t="s">
        <v>85</v>
      </c>
      <c r="Q4" s="11" t="s">
        <v>86</v>
      </c>
      <c r="R4" s="11" t="s">
        <v>87</v>
      </c>
      <c r="S4" s="11" t="s">
        <v>88</v>
      </c>
      <c r="T4" s="11" t="s">
        <v>89</v>
      </c>
      <c r="U4" s="11" t="s">
        <v>90</v>
      </c>
      <c r="V4" s="11" t="s">
        <v>83</v>
      </c>
      <c r="W4" s="11" t="s">
        <v>82</v>
      </c>
      <c r="X4" s="12">
        <v>1</v>
      </c>
      <c r="Y4" s="12">
        <v>0</v>
      </c>
      <c r="Z4" s="24">
        <v>20</v>
      </c>
      <c r="AA4" t="s">
        <v>606</v>
      </c>
      <c r="AB4" t="s">
        <v>92</v>
      </c>
    </row>
    <row r="5" spans="2:28" x14ac:dyDescent="0.25">
      <c r="B5" s="11" t="s">
        <v>125</v>
      </c>
      <c r="C5" s="11" t="s">
        <v>607</v>
      </c>
      <c r="D5" s="11" t="s">
        <v>608</v>
      </c>
      <c r="E5" s="12">
        <v>3</v>
      </c>
      <c r="F5" s="23">
        <v>7190000</v>
      </c>
      <c r="G5" s="11">
        <v>5.4</v>
      </c>
      <c r="H5" s="23">
        <f t="shared" si="0"/>
        <v>38826000</v>
      </c>
      <c r="I5" s="23">
        <f>AVERAGE(H5:H7)</f>
        <v>36198000</v>
      </c>
      <c r="J5" s="24">
        <v>225</v>
      </c>
      <c r="K5" s="12">
        <v>1.2232600020832241</v>
      </c>
      <c r="L5" s="11" t="s">
        <v>83</v>
      </c>
      <c r="M5" s="11" t="s">
        <v>84</v>
      </c>
      <c r="N5" s="12">
        <v>0.1</v>
      </c>
      <c r="O5" s="12">
        <v>2</v>
      </c>
      <c r="P5" s="11" t="s">
        <v>85</v>
      </c>
      <c r="Q5" s="11" t="s">
        <v>86</v>
      </c>
      <c r="R5" s="11" t="s">
        <v>87</v>
      </c>
      <c r="S5" s="11" t="s">
        <v>88</v>
      </c>
      <c r="T5" s="11" t="s">
        <v>89</v>
      </c>
      <c r="U5" s="11" t="s">
        <v>90</v>
      </c>
      <c r="V5" s="11" t="s">
        <v>83</v>
      </c>
      <c r="W5" s="11" t="s">
        <v>82</v>
      </c>
      <c r="X5" s="12">
        <v>1</v>
      </c>
      <c r="Y5" s="12">
        <v>0</v>
      </c>
      <c r="Z5" s="24">
        <v>20</v>
      </c>
      <c r="AA5" t="s">
        <v>609</v>
      </c>
      <c r="AB5" t="s">
        <v>92</v>
      </c>
    </row>
    <row r="6" spans="2:28" x14ac:dyDescent="0.25">
      <c r="B6" s="11" t="s">
        <v>136</v>
      </c>
      <c r="C6" s="11" t="s">
        <v>610</v>
      </c>
      <c r="D6" s="11" t="s">
        <v>611</v>
      </c>
      <c r="E6" s="12">
        <v>3</v>
      </c>
      <c r="F6" s="23">
        <v>6430000</v>
      </c>
      <c r="G6" s="11">
        <v>5.4</v>
      </c>
      <c r="H6" s="23">
        <f t="shared" si="0"/>
        <v>34722000</v>
      </c>
      <c r="J6" s="24">
        <v>222</v>
      </c>
      <c r="K6" s="12">
        <v>1.2579704287742424</v>
      </c>
      <c r="L6" s="11" t="s">
        <v>83</v>
      </c>
      <c r="M6" s="11" t="s">
        <v>84</v>
      </c>
      <c r="N6" s="12">
        <v>0.1</v>
      </c>
      <c r="O6" s="12">
        <v>2</v>
      </c>
      <c r="P6" s="11" t="s">
        <v>85</v>
      </c>
      <c r="Q6" s="11" t="s">
        <v>86</v>
      </c>
      <c r="R6" s="11" t="s">
        <v>87</v>
      </c>
      <c r="S6" s="11" t="s">
        <v>88</v>
      </c>
      <c r="T6" s="11" t="s">
        <v>89</v>
      </c>
      <c r="U6" s="11" t="s">
        <v>90</v>
      </c>
      <c r="V6" s="11" t="s">
        <v>83</v>
      </c>
      <c r="W6" s="11" t="s">
        <v>82</v>
      </c>
      <c r="X6" s="12">
        <v>1</v>
      </c>
      <c r="Y6" s="12">
        <v>0</v>
      </c>
      <c r="Z6" s="24">
        <v>20</v>
      </c>
      <c r="AA6" t="s">
        <v>612</v>
      </c>
      <c r="AB6" t="s">
        <v>92</v>
      </c>
    </row>
    <row r="7" spans="2:28" x14ac:dyDescent="0.25">
      <c r="B7" s="11" t="s">
        <v>147</v>
      </c>
      <c r="C7" s="11" t="s">
        <v>613</v>
      </c>
      <c r="D7" s="11" t="s">
        <v>614</v>
      </c>
      <c r="E7" s="12">
        <v>3</v>
      </c>
      <c r="F7" s="23">
        <v>6490000</v>
      </c>
      <c r="G7" s="11">
        <v>5.4</v>
      </c>
      <c r="H7" s="23">
        <f t="shared" si="0"/>
        <v>35046000</v>
      </c>
      <c r="J7" s="24">
        <v>224</v>
      </c>
      <c r="K7" s="12">
        <v>1.3202507349089456</v>
      </c>
      <c r="L7" s="11" t="s">
        <v>83</v>
      </c>
      <c r="M7" s="11" t="s">
        <v>84</v>
      </c>
      <c r="N7" s="12">
        <v>0.1</v>
      </c>
      <c r="O7" s="12">
        <v>2</v>
      </c>
      <c r="P7" s="11" t="s">
        <v>85</v>
      </c>
      <c r="Q7" s="11" t="s">
        <v>86</v>
      </c>
      <c r="R7" s="11" t="s">
        <v>87</v>
      </c>
      <c r="S7" s="11" t="s">
        <v>88</v>
      </c>
      <c r="T7" s="11" t="s">
        <v>89</v>
      </c>
      <c r="U7" s="11" t="s">
        <v>90</v>
      </c>
      <c r="V7" s="11" t="s">
        <v>83</v>
      </c>
      <c r="W7" s="11" t="s">
        <v>82</v>
      </c>
      <c r="X7" s="12">
        <v>1</v>
      </c>
      <c r="Y7" s="12">
        <v>0</v>
      </c>
      <c r="Z7" s="24">
        <v>20</v>
      </c>
      <c r="AA7" t="s">
        <v>615</v>
      </c>
      <c r="AB7" t="s">
        <v>92</v>
      </c>
    </row>
    <row r="8" spans="2:28" x14ac:dyDescent="0.25">
      <c r="B8" s="11" t="s">
        <v>158</v>
      </c>
      <c r="C8" s="11" t="s">
        <v>616</v>
      </c>
      <c r="D8" s="11" t="s">
        <v>617</v>
      </c>
      <c r="E8" s="12">
        <v>3</v>
      </c>
      <c r="F8" s="23">
        <v>8310000</v>
      </c>
      <c r="G8" s="11">
        <v>5.3</v>
      </c>
      <c r="H8" s="23">
        <f t="shared" si="0"/>
        <v>44043000</v>
      </c>
      <c r="I8" s="23">
        <f>AVERAGE(H8:H10)</f>
        <v>41428333.333333336</v>
      </c>
      <c r="J8" s="24">
        <v>228</v>
      </c>
      <c r="K8" s="12">
        <v>1.2905900395348633</v>
      </c>
      <c r="L8" s="11" t="s">
        <v>83</v>
      </c>
      <c r="M8" s="11" t="s">
        <v>84</v>
      </c>
      <c r="N8" s="12">
        <v>0.1</v>
      </c>
      <c r="O8" s="12">
        <v>2</v>
      </c>
      <c r="P8" s="11" t="s">
        <v>85</v>
      </c>
      <c r="Q8" s="11" t="s">
        <v>86</v>
      </c>
      <c r="R8" s="11" t="s">
        <v>87</v>
      </c>
      <c r="S8" s="11" t="s">
        <v>88</v>
      </c>
      <c r="T8" s="11" t="s">
        <v>89</v>
      </c>
      <c r="U8" s="11" t="s">
        <v>90</v>
      </c>
      <c r="V8" s="11" t="s">
        <v>83</v>
      </c>
      <c r="W8" s="11" t="s">
        <v>82</v>
      </c>
      <c r="X8" s="12">
        <v>1</v>
      </c>
      <c r="Y8" s="12">
        <v>0</v>
      </c>
      <c r="Z8" s="24">
        <v>20</v>
      </c>
      <c r="AA8" t="s">
        <v>618</v>
      </c>
      <c r="AB8" t="s">
        <v>92</v>
      </c>
    </row>
    <row r="9" spans="2:28" x14ac:dyDescent="0.25">
      <c r="B9" s="11" t="s">
        <v>169</v>
      </c>
      <c r="C9" s="11" t="s">
        <v>619</v>
      </c>
      <c r="D9" s="11" t="s">
        <v>620</v>
      </c>
      <c r="E9" s="12">
        <v>3</v>
      </c>
      <c r="F9" s="23">
        <v>8090000</v>
      </c>
      <c r="G9" s="11">
        <v>5.3</v>
      </c>
      <c r="H9" s="23">
        <f t="shared" si="0"/>
        <v>42877000</v>
      </c>
      <c r="J9" s="24">
        <v>222</v>
      </c>
      <c r="K9" s="12">
        <v>1.3052262715980474</v>
      </c>
      <c r="L9" s="11" t="s">
        <v>83</v>
      </c>
      <c r="M9" s="11" t="s">
        <v>84</v>
      </c>
      <c r="N9" s="12">
        <v>0.1</v>
      </c>
      <c r="O9" s="12">
        <v>2</v>
      </c>
      <c r="P9" s="11" t="s">
        <v>85</v>
      </c>
      <c r="Q9" s="11" t="s">
        <v>86</v>
      </c>
      <c r="R9" s="11" t="s">
        <v>87</v>
      </c>
      <c r="S9" s="11" t="s">
        <v>88</v>
      </c>
      <c r="T9" s="11" t="s">
        <v>89</v>
      </c>
      <c r="U9" s="11" t="s">
        <v>90</v>
      </c>
      <c r="V9" s="11" t="s">
        <v>83</v>
      </c>
      <c r="W9" s="11" t="s">
        <v>82</v>
      </c>
      <c r="X9" s="12">
        <v>1</v>
      </c>
      <c r="Y9" s="12">
        <v>0</v>
      </c>
      <c r="Z9" s="24">
        <v>20</v>
      </c>
      <c r="AA9" t="s">
        <v>621</v>
      </c>
      <c r="AB9" t="s">
        <v>92</v>
      </c>
    </row>
    <row r="10" spans="2:28" x14ac:dyDescent="0.25">
      <c r="B10" s="11" t="s">
        <v>180</v>
      </c>
      <c r="C10" s="11" t="s">
        <v>622</v>
      </c>
      <c r="D10" s="11" t="s">
        <v>623</v>
      </c>
      <c r="E10" s="12">
        <v>3</v>
      </c>
      <c r="F10" s="23">
        <v>7050000</v>
      </c>
      <c r="G10" s="11">
        <v>5.3</v>
      </c>
      <c r="H10" s="23">
        <f t="shared" si="0"/>
        <v>37365000</v>
      </c>
      <c r="J10" s="24">
        <v>232</v>
      </c>
      <c r="K10" s="12">
        <v>1.2527953573573238</v>
      </c>
      <c r="L10" s="11" t="s">
        <v>83</v>
      </c>
      <c r="M10" s="11" t="s">
        <v>84</v>
      </c>
      <c r="N10" s="12">
        <v>0.1</v>
      </c>
      <c r="O10" s="12">
        <v>2</v>
      </c>
      <c r="P10" s="11" t="s">
        <v>85</v>
      </c>
      <c r="Q10" s="11" t="s">
        <v>86</v>
      </c>
      <c r="R10" s="11" t="s">
        <v>87</v>
      </c>
      <c r="S10" s="11" t="s">
        <v>88</v>
      </c>
      <c r="T10" s="11" t="s">
        <v>89</v>
      </c>
      <c r="U10" s="11" t="s">
        <v>90</v>
      </c>
      <c r="V10" s="11" t="s">
        <v>83</v>
      </c>
      <c r="W10" s="11" t="s">
        <v>82</v>
      </c>
      <c r="X10" s="12">
        <v>1</v>
      </c>
      <c r="Y10" s="12">
        <v>0</v>
      </c>
      <c r="Z10" s="24">
        <v>20</v>
      </c>
      <c r="AA10" t="s">
        <v>624</v>
      </c>
      <c r="AB10" t="s">
        <v>92</v>
      </c>
    </row>
    <row r="11" spans="2:28" x14ac:dyDescent="0.25">
      <c r="B11" s="11" t="s">
        <v>191</v>
      </c>
      <c r="C11" s="11" t="s">
        <v>625</v>
      </c>
      <c r="D11" s="11" t="s">
        <v>626</v>
      </c>
      <c r="E11" s="12">
        <v>3</v>
      </c>
      <c r="F11" s="23">
        <v>7620000</v>
      </c>
      <c r="G11" s="11">
        <v>5</v>
      </c>
      <c r="H11" s="23">
        <f t="shared" si="0"/>
        <v>38100000</v>
      </c>
      <c r="I11" s="23">
        <f>AVERAGE(H11:H13)</f>
        <v>35700000</v>
      </c>
      <c r="J11" s="24">
        <v>215</v>
      </c>
      <c r="K11" s="12">
        <v>1.2635108255941045</v>
      </c>
      <c r="L11" s="11" t="s">
        <v>83</v>
      </c>
      <c r="M11" s="11" t="s">
        <v>84</v>
      </c>
      <c r="N11" s="12">
        <v>0.1</v>
      </c>
      <c r="O11" s="12">
        <v>2</v>
      </c>
      <c r="P11" s="11" t="s">
        <v>85</v>
      </c>
      <c r="Q11" s="11" t="s">
        <v>86</v>
      </c>
      <c r="R11" s="11" t="s">
        <v>87</v>
      </c>
      <c r="S11" s="11" t="s">
        <v>88</v>
      </c>
      <c r="T11" s="11" t="s">
        <v>89</v>
      </c>
      <c r="U11" s="11" t="s">
        <v>90</v>
      </c>
      <c r="V11" s="11" t="s">
        <v>83</v>
      </c>
      <c r="W11" s="11" t="s">
        <v>82</v>
      </c>
      <c r="X11" s="12">
        <v>1</v>
      </c>
      <c r="Y11" s="12">
        <v>0</v>
      </c>
      <c r="Z11" s="24">
        <v>20</v>
      </c>
      <c r="AA11" t="s">
        <v>627</v>
      </c>
      <c r="AB11" t="s">
        <v>92</v>
      </c>
    </row>
    <row r="12" spans="2:28" x14ac:dyDescent="0.25">
      <c r="B12" s="11" t="s">
        <v>238</v>
      </c>
      <c r="C12" s="11" t="s">
        <v>628</v>
      </c>
      <c r="D12" s="11" t="s">
        <v>629</v>
      </c>
      <c r="E12" s="12">
        <v>3</v>
      </c>
      <c r="F12" s="23">
        <v>7300000</v>
      </c>
      <c r="G12" s="11">
        <v>5</v>
      </c>
      <c r="H12" s="23">
        <f t="shared" si="0"/>
        <v>36500000</v>
      </c>
      <c r="I12" s="23"/>
      <c r="J12" s="24">
        <v>217</v>
      </c>
      <c r="K12" s="12">
        <v>1.2769792489976906</v>
      </c>
      <c r="L12" s="11" t="s">
        <v>83</v>
      </c>
      <c r="M12" s="11" t="s">
        <v>84</v>
      </c>
      <c r="N12" s="12">
        <v>0.1</v>
      </c>
      <c r="O12" s="12">
        <v>2</v>
      </c>
      <c r="P12" s="11" t="s">
        <v>85</v>
      </c>
      <c r="Q12" s="11" t="s">
        <v>86</v>
      </c>
      <c r="R12" s="11" t="s">
        <v>87</v>
      </c>
      <c r="S12" s="11" t="s">
        <v>88</v>
      </c>
      <c r="T12" s="11" t="s">
        <v>89</v>
      </c>
      <c r="U12" s="11" t="s">
        <v>90</v>
      </c>
      <c r="V12" s="11" t="s">
        <v>83</v>
      </c>
      <c r="W12" s="11" t="s">
        <v>82</v>
      </c>
      <c r="X12" s="12">
        <v>1</v>
      </c>
      <c r="Y12" s="12">
        <v>0</v>
      </c>
      <c r="Z12" s="24">
        <v>20</v>
      </c>
      <c r="AA12" t="s">
        <v>630</v>
      </c>
      <c r="AB12" t="s">
        <v>92</v>
      </c>
    </row>
    <row r="13" spans="2:28" x14ac:dyDescent="0.25">
      <c r="B13" s="11" t="s">
        <v>242</v>
      </c>
      <c r="C13" s="11" t="s">
        <v>631</v>
      </c>
      <c r="D13" s="11" t="s">
        <v>632</v>
      </c>
      <c r="E13" s="12">
        <v>3</v>
      </c>
      <c r="F13" s="23">
        <v>6500000</v>
      </c>
      <c r="G13" s="11">
        <v>5</v>
      </c>
      <c r="H13" s="23">
        <f t="shared" si="0"/>
        <v>32500000</v>
      </c>
      <c r="I13" s="23"/>
      <c r="J13" s="24">
        <v>219</v>
      </c>
      <c r="K13" s="12">
        <v>1.2239260055536183</v>
      </c>
      <c r="L13" s="11" t="s">
        <v>83</v>
      </c>
      <c r="M13" s="11" t="s">
        <v>84</v>
      </c>
      <c r="N13" s="12">
        <v>0.1</v>
      </c>
      <c r="O13" s="12">
        <v>2</v>
      </c>
      <c r="P13" s="11" t="s">
        <v>85</v>
      </c>
      <c r="Q13" s="11" t="s">
        <v>86</v>
      </c>
      <c r="R13" s="11" t="s">
        <v>87</v>
      </c>
      <c r="S13" s="11" t="s">
        <v>88</v>
      </c>
      <c r="T13" s="11" t="s">
        <v>89</v>
      </c>
      <c r="U13" s="11" t="s">
        <v>90</v>
      </c>
      <c r="V13" s="11" t="s">
        <v>83</v>
      </c>
      <c r="W13" s="11" t="s">
        <v>82</v>
      </c>
      <c r="X13" s="12">
        <v>1</v>
      </c>
      <c r="Y13" s="12">
        <v>0</v>
      </c>
      <c r="Z13" s="24">
        <v>20</v>
      </c>
      <c r="AA13" t="s">
        <v>633</v>
      </c>
      <c r="AB13" t="s">
        <v>92</v>
      </c>
    </row>
    <row r="14" spans="2:28" x14ac:dyDescent="0.25">
      <c r="B14" s="11" t="s">
        <v>247</v>
      </c>
      <c r="C14" s="11" t="s">
        <v>634</v>
      </c>
      <c r="D14" s="11" t="s">
        <v>635</v>
      </c>
      <c r="E14" s="12">
        <v>2</v>
      </c>
      <c r="F14" s="23">
        <v>2730000</v>
      </c>
      <c r="G14" s="11">
        <v>5.6</v>
      </c>
      <c r="H14" s="23">
        <f t="shared" si="0"/>
        <v>15287999.999999998</v>
      </c>
      <c r="I14" s="67">
        <f>AVERAGE(H14:H16)</f>
        <v>13776000</v>
      </c>
      <c r="J14" s="24">
        <v>208</v>
      </c>
      <c r="K14" s="12">
        <v>0.94235785218554724</v>
      </c>
      <c r="L14" s="11" t="s">
        <v>83</v>
      </c>
      <c r="M14" s="11" t="s">
        <v>84</v>
      </c>
      <c r="N14" s="12">
        <v>0.1</v>
      </c>
      <c r="O14" s="12">
        <v>2</v>
      </c>
      <c r="P14" s="11" t="s">
        <v>85</v>
      </c>
      <c r="Q14" s="11" t="s">
        <v>86</v>
      </c>
      <c r="R14" s="11" t="s">
        <v>87</v>
      </c>
      <c r="S14" s="11" t="s">
        <v>88</v>
      </c>
      <c r="T14" s="11" t="s">
        <v>89</v>
      </c>
      <c r="U14" s="11" t="s">
        <v>90</v>
      </c>
      <c r="V14" s="11" t="s">
        <v>83</v>
      </c>
      <c r="W14" s="11" t="s">
        <v>82</v>
      </c>
      <c r="X14" s="12">
        <v>1</v>
      </c>
      <c r="Y14" s="12">
        <v>0</v>
      </c>
      <c r="Z14" s="24">
        <v>20</v>
      </c>
      <c r="AA14" t="s">
        <v>636</v>
      </c>
      <c r="AB14" t="s">
        <v>92</v>
      </c>
    </row>
    <row r="15" spans="2:28" x14ac:dyDescent="0.25">
      <c r="B15" s="11" t="s">
        <v>260</v>
      </c>
      <c r="C15" s="11" t="s">
        <v>637</v>
      </c>
      <c r="D15" s="11" t="s">
        <v>638</v>
      </c>
      <c r="E15" s="12">
        <v>2</v>
      </c>
      <c r="F15" s="23">
        <v>2610000</v>
      </c>
      <c r="G15" s="11">
        <v>5.6</v>
      </c>
      <c r="H15" s="23">
        <f t="shared" si="0"/>
        <v>14616000</v>
      </c>
      <c r="I15" s="23"/>
      <c r="J15" s="24">
        <v>207</v>
      </c>
      <c r="K15" s="12">
        <v>0.92655796348378194</v>
      </c>
      <c r="L15" s="11" t="s">
        <v>83</v>
      </c>
      <c r="M15" s="11" t="s">
        <v>84</v>
      </c>
      <c r="N15" s="12">
        <v>0.1</v>
      </c>
      <c r="O15" s="12">
        <v>2</v>
      </c>
      <c r="P15" s="11" t="s">
        <v>85</v>
      </c>
      <c r="Q15" s="11" t="s">
        <v>86</v>
      </c>
      <c r="R15" s="11" t="s">
        <v>87</v>
      </c>
      <c r="S15" s="11" t="s">
        <v>88</v>
      </c>
      <c r="T15" s="11" t="s">
        <v>89</v>
      </c>
      <c r="U15" s="11" t="s">
        <v>90</v>
      </c>
      <c r="V15" s="11" t="s">
        <v>83</v>
      </c>
      <c r="W15" s="11" t="s">
        <v>82</v>
      </c>
      <c r="X15" s="12">
        <v>1</v>
      </c>
      <c r="Y15" s="12">
        <v>0</v>
      </c>
      <c r="Z15" s="24">
        <v>20</v>
      </c>
      <c r="AA15" t="s">
        <v>639</v>
      </c>
      <c r="AB15" t="s">
        <v>92</v>
      </c>
    </row>
    <row r="16" spans="2:28" x14ac:dyDescent="0.25">
      <c r="B16" s="11" t="s">
        <v>421</v>
      </c>
      <c r="C16" s="11" t="s">
        <v>640</v>
      </c>
      <c r="D16" s="11" t="s">
        <v>641</v>
      </c>
      <c r="E16" s="12">
        <v>2</v>
      </c>
      <c r="F16" s="23">
        <v>2040000</v>
      </c>
      <c r="G16" s="11">
        <v>5.6</v>
      </c>
      <c r="H16" s="23">
        <f t="shared" si="0"/>
        <v>11424000</v>
      </c>
      <c r="I16" s="23"/>
      <c r="J16" s="24">
        <v>202</v>
      </c>
      <c r="K16" s="12">
        <v>1.0102049010399696</v>
      </c>
      <c r="L16" s="11" t="s">
        <v>83</v>
      </c>
      <c r="M16" s="11" t="s">
        <v>84</v>
      </c>
      <c r="N16" s="12">
        <v>0.1</v>
      </c>
      <c r="O16" s="12">
        <v>2</v>
      </c>
      <c r="P16" s="11" t="s">
        <v>85</v>
      </c>
      <c r="Q16" s="11" t="s">
        <v>86</v>
      </c>
      <c r="R16" s="11" t="s">
        <v>87</v>
      </c>
      <c r="S16" s="11" t="s">
        <v>88</v>
      </c>
      <c r="T16" s="11" t="s">
        <v>89</v>
      </c>
      <c r="U16" s="11" t="s">
        <v>90</v>
      </c>
      <c r="V16" s="11" t="s">
        <v>83</v>
      </c>
      <c r="W16" s="11" t="s">
        <v>82</v>
      </c>
      <c r="X16" s="12">
        <v>1</v>
      </c>
      <c r="Y16" s="12">
        <v>0</v>
      </c>
      <c r="Z16" s="24">
        <v>20</v>
      </c>
      <c r="AA16" t="s">
        <v>642</v>
      </c>
      <c r="AB16" t="s">
        <v>92</v>
      </c>
    </row>
    <row r="17" spans="2:28" x14ac:dyDescent="0.25">
      <c r="B17" s="11" t="s">
        <v>425</v>
      </c>
      <c r="C17" s="11" t="s">
        <v>643</v>
      </c>
      <c r="D17" s="11" t="s">
        <v>644</v>
      </c>
      <c r="E17" s="12">
        <v>2</v>
      </c>
      <c r="F17" s="23">
        <v>4970000</v>
      </c>
      <c r="G17" s="11">
        <v>5.6</v>
      </c>
      <c r="H17" s="23">
        <f t="shared" si="0"/>
        <v>27832000</v>
      </c>
      <c r="I17" s="67">
        <f>AVERAGE(H17:H19)</f>
        <v>27104000</v>
      </c>
      <c r="J17" s="24">
        <v>211</v>
      </c>
      <c r="K17" s="12">
        <v>0.91443427220856432</v>
      </c>
      <c r="L17" s="11" t="s">
        <v>83</v>
      </c>
      <c r="M17" s="11" t="s">
        <v>84</v>
      </c>
      <c r="N17" s="12">
        <v>0.1</v>
      </c>
      <c r="O17" s="12">
        <v>2</v>
      </c>
      <c r="P17" s="11" t="s">
        <v>85</v>
      </c>
      <c r="Q17" s="11" t="s">
        <v>86</v>
      </c>
      <c r="R17" s="11" t="s">
        <v>87</v>
      </c>
      <c r="S17" s="11" t="s">
        <v>88</v>
      </c>
      <c r="T17" s="11" t="s">
        <v>89</v>
      </c>
      <c r="U17" s="11" t="s">
        <v>90</v>
      </c>
      <c r="V17" s="11" t="s">
        <v>83</v>
      </c>
      <c r="W17" s="11" t="s">
        <v>82</v>
      </c>
      <c r="X17" s="12">
        <v>1</v>
      </c>
      <c r="Y17" s="12">
        <v>0</v>
      </c>
      <c r="Z17" s="24">
        <v>20</v>
      </c>
      <c r="AA17" t="s">
        <v>645</v>
      </c>
      <c r="AB17" t="s">
        <v>92</v>
      </c>
    </row>
    <row r="18" spans="2:28" x14ac:dyDescent="0.25">
      <c r="B18" s="11" t="s">
        <v>428</v>
      </c>
      <c r="C18" s="11" t="s">
        <v>646</v>
      </c>
      <c r="D18" s="11" t="s">
        <v>647</v>
      </c>
      <c r="E18" s="12">
        <v>2</v>
      </c>
      <c r="F18" s="23">
        <v>4280000</v>
      </c>
      <c r="G18" s="11">
        <v>5.6</v>
      </c>
      <c r="H18" s="23">
        <f t="shared" si="0"/>
        <v>23968000</v>
      </c>
      <c r="I18" s="23"/>
      <c r="J18" s="24">
        <v>211</v>
      </c>
      <c r="K18" s="12">
        <v>0.97152152136044612</v>
      </c>
      <c r="L18" s="11" t="s">
        <v>83</v>
      </c>
      <c r="M18" s="11" t="s">
        <v>84</v>
      </c>
      <c r="N18" s="12">
        <v>0.1</v>
      </c>
      <c r="O18" s="12">
        <v>2</v>
      </c>
      <c r="P18" s="11" t="s">
        <v>85</v>
      </c>
      <c r="Q18" s="11" t="s">
        <v>86</v>
      </c>
      <c r="R18" s="11" t="s">
        <v>87</v>
      </c>
      <c r="S18" s="11" t="s">
        <v>88</v>
      </c>
      <c r="T18" s="11" t="s">
        <v>89</v>
      </c>
      <c r="U18" s="11" t="s">
        <v>90</v>
      </c>
      <c r="V18" s="11" t="s">
        <v>83</v>
      </c>
      <c r="W18" s="11" t="s">
        <v>82</v>
      </c>
      <c r="X18" s="12">
        <v>1</v>
      </c>
      <c r="Y18" s="12">
        <v>0</v>
      </c>
      <c r="Z18" s="24">
        <v>20</v>
      </c>
      <c r="AA18" t="s">
        <v>648</v>
      </c>
      <c r="AB18" t="s">
        <v>92</v>
      </c>
    </row>
    <row r="19" spans="2:28" x14ac:dyDescent="0.25">
      <c r="B19" s="11" t="s">
        <v>431</v>
      </c>
      <c r="C19" s="11" t="s">
        <v>649</v>
      </c>
      <c r="D19" s="11" t="s">
        <v>650</v>
      </c>
      <c r="E19" s="12">
        <v>2</v>
      </c>
      <c r="F19" s="23">
        <v>5270000</v>
      </c>
      <c r="G19" s="11">
        <v>5.6</v>
      </c>
      <c r="H19" s="23">
        <f t="shared" si="0"/>
        <v>29511999.999999996</v>
      </c>
      <c r="I19" s="23"/>
      <c r="J19" s="24">
        <v>212</v>
      </c>
      <c r="K19" s="12">
        <v>0.90657812122835724</v>
      </c>
      <c r="L19" s="11" t="s">
        <v>83</v>
      </c>
      <c r="M19" s="11" t="s">
        <v>84</v>
      </c>
      <c r="N19" s="12">
        <v>0.1</v>
      </c>
      <c r="O19" s="12">
        <v>2</v>
      </c>
      <c r="P19" s="11" t="s">
        <v>85</v>
      </c>
      <c r="Q19" s="11" t="s">
        <v>86</v>
      </c>
      <c r="R19" s="11" t="s">
        <v>87</v>
      </c>
      <c r="S19" s="11" t="s">
        <v>88</v>
      </c>
      <c r="T19" s="11" t="s">
        <v>89</v>
      </c>
      <c r="U19" s="11" t="s">
        <v>90</v>
      </c>
      <c r="V19" s="11" t="s">
        <v>83</v>
      </c>
      <c r="W19" s="11" t="s">
        <v>82</v>
      </c>
      <c r="X19" s="12">
        <v>1</v>
      </c>
      <c r="Y19" s="12">
        <v>0</v>
      </c>
      <c r="Z19" s="24">
        <v>20</v>
      </c>
      <c r="AA19" t="s">
        <v>651</v>
      </c>
      <c r="AB19" t="s">
        <v>92</v>
      </c>
    </row>
    <row r="20" spans="2:28" x14ac:dyDescent="0.25">
      <c r="B20" s="11" t="s">
        <v>434</v>
      </c>
      <c r="C20" s="11" t="s">
        <v>652</v>
      </c>
      <c r="D20" s="11" t="s">
        <v>653</v>
      </c>
      <c r="E20" s="12">
        <v>2</v>
      </c>
      <c r="F20" s="23">
        <v>3610000</v>
      </c>
      <c r="G20" s="11">
        <v>3.7</v>
      </c>
      <c r="H20" s="23">
        <f t="shared" si="0"/>
        <v>13357000</v>
      </c>
      <c r="I20" s="67">
        <f>AVERAGE(H20:H22)</f>
        <v>11470000</v>
      </c>
      <c r="J20" s="24">
        <v>205</v>
      </c>
      <c r="K20" s="12">
        <v>0.90956043393359698</v>
      </c>
      <c r="L20" s="11" t="s">
        <v>83</v>
      </c>
      <c r="M20" s="11" t="s">
        <v>84</v>
      </c>
      <c r="N20" s="12">
        <v>0.1</v>
      </c>
      <c r="O20" s="12">
        <v>2</v>
      </c>
      <c r="P20" s="11" t="s">
        <v>85</v>
      </c>
      <c r="Q20" s="11" t="s">
        <v>86</v>
      </c>
      <c r="R20" s="11" t="s">
        <v>87</v>
      </c>
      <c r="S20" s="11" t="s">
        <v>88</v>
      </c>
      <c r="T20" s="11" t="s">
        <v>89</v>
      </c>
      <c r="U20" s="11" t="s">
        <v>90</v>
      </c>
      <c r="V20" s="11" t="s">
        <v>83</v>
      </c>
      <c r="W20" s="11" t="s">
        <v>82</v>
      </c>
      <c r="X20" s="12">
        <v>1</v>
      </c>
      <c r="Y20" s="12">
        <v>0</v>
      </c>
      <c r="Z20" s="24">
        <v>20</v>
      </c>
      <c r="AA20" t="s">
        <v>654</v>
      </c>
      <c r="AB20" t="s">
        <v>92</v>
      </c>
    </row>
    <row r="21" spans="2:28" x14ac:dyDescent="0.25">
      <c r="B21" s="11" t="s">
        <v>438</v>
      </c>
      <c r="C21" s="11" t="s">
        <v>655</v>
      </c>
      <c r="D21" s="11" t="s">
        <v>656</v>
      </c>
      <c r="E21" s="12">
        <v>2</v>
      </c>
      <c r="F21" s="23">
        <v>3010000</v>
      </c>
      <c r="G21" s="11">
        <v>3.7</v>
      </c>
      <c r="H21" s="23">
        <f t="shared" si="0"/>
        <v>11137000</v>
      </c>
      <c r="I21" s="23"/>
      <c r="J21" s="24">
        <v>203</v>
      </c>
      <c r="K21" s="12">
        <v>0.98670721987331744</v>
      </c>
      <c r="L21" s="11" t="s">
        <v>83</v>
      </c>
      <c r="M21" s="11" t="s">
        <v>84</v>
      </c>
      <c r="N21" s="12">
        <v>0.1</v>
      </c>
      <c r="O21" s="12">
        <v>2</v>
      </c>
      <c r="P21" s="11" t="s">
        <v>85</v>
      </c>
      <c r="Q21" s="11" t="s">
        <v>86</v>
      </c>
      <c r="R21" s="11" t="s">
        <v>87</v>
      </c>
      <c r="S21" s="11" t="s">
        <v>88</v>
      </c>
      <c r="T21" s="11" t="s">
        <v>89</v>
      </c>
      <c r="U21" s="11" t="s">
        <v>90</v>
      </c>
      <c r="V21" s="11" t="s">
        <v>83</v>
      </c>
      <c r="W21" s="11" t="s">
        <v>82</v>
      </c>
      <c r="X21" s="12">
        <v>1</v>
      </c>
      <c r="Y21" s="12">
        <v>0</v>
      </c>
      <c r="Z21" s="24">
        <v>20</v>
      </c>
      <c r="AA21" t="s">
        <v>657</v>
      </c>
      <c r="AB21" t="s">
        <v>92</v>
      </c>
    </row>
    <row r="22" spans="2:28" x14ac:dyDescent="0.25">
      <c r="B22" s="11" t="s">
        <v>442</v>
      </c>
      <c r="C22" s="11" t="s">
        <v>658</v>
      </c>
      <c r="D22" s="11" t="s">
        <v>659</v>
      </c>
      <c r="E22" s="12">
        <v>2</v>
      </c>
      <c r="F22" s="23">
        <v>2680000</v>
      </c>
      <c r="G22" s="11">
        <v>3.7</v>
      </c>
      <c r="H22" s="23">
        <f t="shared" si="0"/>
        <v>9916000</v>
      </c>
      <c r="I22" s="23"/>
      <c r="J22" s="24">
        <v>229</v>
      </c>
      <c r="K22" s="12">
        <v>0.99092451853611929</v>
      </c>
      <c r="L22" s="11" t="s">
        <v>83</v>
      </c>
      <c r="M22" s="11" t="s">
        <v>84</v>
      </c>
      <c r="N22" s="12">
        <v>0.1</v>
      </c>
      <c r="O22" s="12">
        <v>2</v>
      </c>
      <c r="P22" s="11" t="s">
        <v>85</v>
      </c>
      <c r="Q22" s="11" t="s">
        <v>86</v>
      </c>
      <c r="R22" s="11" t="s">
        <v>87</v>
      </c>
      <c r="S22" s="11" t="s">
        <v>88</v>
      </c>
      <c r="T22" s="11" t="s">
        <v>89</v>
      </c>
      <c r="U22" s="11" t="s">
        <v>90</v>
      </c>
      <c r="V22" s="11" t="s">
        <v>83</v>
      </c>
      <c r="W22" s="11" t="s">
        <v>82</v>
      </c>
      <c r="X22" s="12">
        <v>1</v>
      </c>
      <c r="Y22" s="12">
        <v>0</v>
      </c>
      <c r="Z22" s="24">
        <v>20</v>
      </c>
      <c r="AA22" t="s">
        <v>660</v>
      </c>
      <c r="AB22" t="s">
        <v>92</v>
      </c>
    </row>
    <row r="23" spans="2:28" x14ac:dyDescent="0.25">
      <c r="B23" s="11" t="s">
        <v>446</v>
      </c>
      <c r="C23" s="11" t="s">
        <v>661</v>
      </c>
      <c r="D23" s="11" t="s">
        <v>662</v>
      </c>
      <c r="E23" s="12">
        <v>0</v>
      </c>
      <c r="F23" s="23">
        <v>2100</v>
      </c>
      <c r="G23" s="11">
        <v>3.2</v>
      </c>
      <c r="H23" s="23">
        <f t="shared" si="0"/>
        <v>6720</v>
      </c>
      <c r="I23" s="23">
        <f>AVERAGE(H23:H25)</f>
        <v>7210.666666666667</v>
      </c>
      <c r="J23" s="24">
        <v>105</v>
      </c>
      <c r="K23" s="12">
        <v>1.2944572912609036</v>
      </c>
      <c r="L23" s="11" t="s">
        <v>83</v>
      </c>
      <c r="M23" s="11" t="s">
        <v>84</v>
      </c>
      <c r="N23" s="12">
        <v>0.1</v>
      </c>
      <c r="O23" s="12">
        <v>2</v>
      </c>
      <c r="P23" s="11" t="s">
        <v>85</v>
      </c>
      <c r="Q23" s="11" t="s">
        <v>86</v>
      </c>
      <c r="R23" s="11" t="s">
        <v>87</v>
      </c>
      <c r="S23" s="11" t="s">
        <v>88</v>
      </c>
      <c r="T23" s="11" t="s">
        <v>89</v>
      </c>
      <c r="U23" s="11" t="s">
        <v>90</v>
      </c>
      <c r="V23" s="11" t="s">
        <v>83</v>
      </c>
      <c r="W23" s="11" t="s">
        <v>82</v>
      </c>
      <c r="X23" s="12">
        <v>1</v>
      </c>
      <c r="Y23" s="12">
        <v>0</v>
      </c>
      <c r="Z23" s="24">
        <v>20</v>
      </c>
      <c r="AA23" t="s">
        <v>663</v>
      </c>
      <c r="AB23" t="s">
        <v>92</v>
      </c>
    </row>
    <row r="24" spans="2:28" x14ac:dyDescent="0.25">
      <c r="B24" s="11" t="s">
        <v>450</v>
      </c>
      <c r="C24" s="11" t="s">
        <v>664</v>
      </c>
      <c r="D24" s="11" t="s">
        <v>665</v>
      </c>
      <c r="E24" s="12">
        <v>0</v>
      </c>
      <c r="F24" s="23">
        <v>2140</v>
      </c>
      <c r="G24" s="11">
        <v>3.2</v>
      </c>
      <c r="H24" s="23">
        <f t="shared" si="0"/>
        <v>6848</v>
      </c>
      <c r="I24" s="23"/>
      <c r="J24" s="24">
        <v>107</v>
      </c>
      <c r="K24" s="12">
        <v>1.3557216469585394</v>
      </c>
      <c r="L24" s="11" t="s">
        <v>83</v>
      </c>
      <c r="M24" s="11" t="s">
        <v>84</v>
      </c>
      <c r="N24" s="12">
        <v>0.1</v>
      </c>
      <c r="O24" s="12">
        <v>2</v>
      </c>
      <c r="P24" s="11" t="s">
        <v>85</v>
      </c>
      <c r="Q24" s="11" t="s">
        <v>86</v>
      </c>
      <c r="R24" s="11" t="s">
        <v>87</v>
      </c>
      <c r="S24" s="11" t="s">
        <v>88</v>
      </c>
      <c r="T24" s="11" t="s">
        <v>89</v>
      </c>
      <c r="U24" s="11" t="s">
        <v>90</v>
      </c>
      <c r="V24" s="11" t="s">
        <v>83</v>
      </c>
      <c r="W24" s="11" t="s">
        <v>82</v>
      </c>
      <c r="X24" s="12">
        <v>1</v>
      </c>
      <c r="Y24" s="12">
        <v>0</v>
      </c>
      <c r="Z24" s="24">
        <v>20</v>
      </c>
      <c r="AA24" t="s">
        <v>666</v>
      </c>
      <c r="AB24" t="s">
        <v>92</v>
      </c>
    </row>
    <row r="25" spans="2:28" x14ac:dyDescent="0.25">
      <c r="B25" s="11" t="s">
        <v>454</v>
      </c>
      <c r="C25" s="11" t="s">
        <v>667</v>
      </c>
      <c r="D25" s="11" t="s">
        <v>668</v>
      </c>
      <c r="E25" s="12">
        <v>0</v>
      </c>
      <c r="F25" s="23">
        <v>2520</v>
      </c>
      <c r="G25" s="11">
        <v>3.2</v>
      </c>
      <c r="H25" s="23">
        <f t="shared" si="0"/>
        <v>8064</v>
      </c>
      <c r="I25" s="23"/>
      <c r="J25" s="24">
        <v>126</v>
      </c>
      <c r="K25" s="12">
        <v>1.3503714090084511</v>
      </c>
      <c r="L25" s="11" t="s">
        <v>83</v>
      </c>
      <c r="M25" s="11" t="s">
        <v>84</v>
      </c>
      <c r="N25" s="12">
        <v>0.1</v>
      </c>
      <c r="O25" s="12">
        <v>2</v>
      </c>
      <c r="P25" s="11" t="s">
        <v>85</v>
      </c>
      <c r="Q25" s="11" t="s">
        <v>86</v>
      </c>
      <c r="R25" s="11" t="s">
        <v>87</v>
      </c>
      <c r="S25" s="11" t="s">
        <v>88</v>
      </c>
      <c r="T25" s="11" t="s">
        <v>89</v>
      </c>
      <c r="U25" s="11" t="s">
        <v>90</v>
      </c>
      <c r="V25" s="11" t="s">
        <v>83</v>
      </c>
      <c r="W25" s="11" t="s">
        <v>82</v>
      </c>
      <c r="X25" s="12">
        <v>1</v>
      </c>
      <c r="Y25" s="12">
        <v>0</v>
      </c>
      <c r="Z25" s="24">
        <v>20</v>
      </c>
      <c r="AA25" t="s">
        <v>669</v>
      </c>
      <c r="AB25" t="s">
        <v>92</v>
      </c>
    </row>
    <row r="26" spans="2:28" x14ac:dyDescent="0.25">
      <c r="B26" s="11" t="s">
        <v>458</v>
      </c>
      <c r="C26" s="11" t="s">
        <v>670</v>
      </c>
      <c r="D26" s="11" t="s">
        <v>671</v>
      </c>
      <c r="E26" s="12">
        <v>0</v>
      </c>
      <c r="F26" s="11">
        <v>39</v>
      </c>
      <c r="G26" s="11">
        <v>4.0999999999999996</v>
      </c>
      <c r="H26" s="11">
        <f>(4.1/2)*F26</f>
        <v>79.949999999999989</v>
      </c>
      <c r="J26" s="24">
        <v>39</v>
      </c>
      <c r="K26" s="12">
        <v>1.3503714090084511</v>
      </c>
      <c r="L26" s="11" t="s">
        <v>672</v>
      </c>
      <c r="M26" s="11" t="s">
        <v>84</v>
      </c>
      <c r="N26" s="12">
        <v>0.1</v>
      </c>
      <c r="O26" s="12">
        <v>2</v>
      </c>
      <c r="P26" s="11" t="s">
        <v>82</v>
      </c>
      <c r="Q26" s="11" t="s">
        <v>82</v>
      </c>
      <c r="R26" s="11" t="s">
        <v>391</v>
      </c>
      <c r="S26" s="11" t="s">
        <v>88</v>
      </c>
      <c r="T26" s="11" t="s">
        <v>89</v>
      </c>
      <c r="U26" s="11" t="s">
        <v>90</v>
      </c>
      <c r="V26" s="11" t="s">
        <v>673</v>
      </c>
      <c r="W26" s="11" t="s">
        <v>82</v>
      </c>
      <c r="X26" s="12">
        <v>1</v>
      </c>
      <c r="Y26" s="12">
        <v>0</v>
      </c>
      <c r="Z26" s="24">
        <v>20</v>
      </c>
      <c r="AA26" t="s">
        <v>674</v>
      </c>
      <c r="AB26" t="s">
        <v>92</v>
      </c>
    </row>
    <row r="27" spans="2:28" x14ac:dyDescent="0.25">
      <c r="B27" s="11" t="s">
        <v>462</v>
      </c>
      <c r="C27" s="11" t="s">
        <v>675</v>
      </c>
      <c r="D27" s="11" t="s">
        <v>676</v>
      </c>
      <c r="E27" s="12">
        <v>0</v>
      </c>
      <c r="F27" s="11">
        <v>29</v>
      </c>
      <c r="G27" s="11">
        <v>4.3</v>
      </c>
      <c r="H27" s="11">
        <f>F27*G27</f>
        <v>124.69999999999999</v>
      </c>
      <c r="J27" s="24">
        <v>29</v>
      </c>
      <c r="K27" s="12">
        <v>1.3503714090084511</v>
      </c>
      <c r="L27" s="11" t="s">
        <v>672</v>
      </c>
      <c r="M27" s="11" t="s">
        <v>84</v>
      </c>
      <c r="N27" s="12">
        <v>0.1</v>
      </c>
      <c r="O27" s="12">
        <v>2</v>
      </c>
      <c r="P27" s="11" t="s">
        <v>82</v>
      </c>
      <c r="Q27" s="11" t="s">
        <v>82</v>
      </c>
      <c r="R27" s="11" t="s">
        <v>391</v>
      </c>
      <c r="S27" s="11" t="s">
        <v>88</v>
      </c>
      <c r="T27" s="11" t="s">
        <v>89</v>
      </c>
      <c r="U27" s="11" t="s">
        <v>90</v>
      </c>
      <c r="V27" s="11" t="s">
        <v>673</v>
      </c>
      <c r="W27" s="11" t="s">
        <v>82</v>
      </c>
      <c r="X27" s="12">
        <v>1</v>
      </c>
      <c r="Y27" s="12">
        <v>0</v>
      </c>
      <c r="Z27" s="24">
        <v>20</v>
      </c>
      <c r="AA27" t="s">
        <v>677</v>
      </c>
      <c r="AB27" t="s">
        <v>92</v>
      </c>
    </row>
    <row r="29" spans="2:28" x14ac:dyDescent="0.25">
      <c r="D29" s="11" t="s">
        <v>678</v>
      </c>
      <c r="H29" s="68" t="s">
        <v>679</v>
      </c>
      <c r="K29" s="22" t="s">
        <v>680</v>
      </c>
    </row>
    <row r="30" spans="2:28" x14ac:dyDescent="0.25">
      <c r="D30" s="11" t="s">
        <v>681</v>
      </c>
      <c r="H30" s="11" t="s">
        <v>471</v>
      </c>
      <c r="I30" s="23">
        <f>AVERAGE(I14:I20)</f>
        <v>17450000</v>
      </c>
      <c r="K30" s="22" t="s">
        <v>471</v>
      </c>
      <c r="L30" s="23">
        <f>AVERAGE(I2:I8)</f>
        <v>36870111.111111112</v>
      </c>
    </row>
    <row r="31" spans="2:28" x14ac:dyDescent="0.25">
      <c r="H31" s="11" t="s">
        <v>473</v>
      </c>
      <c r="I31" s="23">
        <f>STDEV(I14:I20)</f>
        <v>8439739.0954934154</v>
      </c>
      <c r="K31" s="22" t="s">
        <v>682</v>
      </c>
      <c r="L31" s="23">
        <f>STDEV(I2:I8)</f>
        <v>4262099.4087855788</v>
      </c>
    </row>
    <row r="33" spans="3:13" x14ac:dyDescent="0.25">
      <c r="D33" s="63" t="s">
        <v>683</v>
      </c>
      <c r="H33" s="11" t="s">
        <v>684</v>
      </c>
      <c r="K33" s="22" t="s">
        <v>685</v>
      </c>
      <c r="M33" s="63" t="s">
        <v>686</v>
      </c>
    </row>
    <row r="34" spans="3:13" x14ac:dyDescent="0.25">
      <c r="C34" s="11" t="s">
        <v>687</v>
      </c>
      <c r="D34" s="11" t="s">
        <v>688</v>
      </c>
      <c r="E34" s="11">
        <v>0</v>
      </c>
      <c r="G34" s="23" t="s">
        <v>689</v>
      </c>
      <c r="H34" s="11" t="s">
        <v>690</v>
      </c>
      <c r="I34" s="11">
        <v>0</v>
      </c>
      <c r="J34" s="24" t="s">
        <v>691</v>
      </c>
      <c r="K34" s="22" t="s">
        <v>692</v>
      </c>
      <c r="L34" s="11">
        <v>60</v>
      </c>
      <c r="M34" s="11">
        <f>(4.9/0.5)*L34</f>
        <v>588</v>
      </c>
    </row>
    <row r="35" spans="3:13" x14ac:dyDescent="0.25">
      <c r="C35" s="11" t="s">
        <v>693</v>
      </c>
      <c r="D35" s="11" t="s">
        <v>694</v>
      </c>
      <c r="E35" s="11">
        <v>0</v>
      </c>
      <c r="G35" s="23" t="s">
        <v>695</v>
      </c>
      <c r="H35" s="11" t="s">
        <v>694</v>
      </c>
      <c r="I35" s="11">
        <v>0</v>
      </c>
      <c r="J35" s="24" t="s">
        <v>696</v>
      </c>
      <c r="K35" s="22" t="s">
        <v>697</v>
      </c>
      <c r="L35" s="11">
        <v>0</v>
      </c>
    </row>
    <row r="36" spans="3:13" x14ac:dyDescent="0.25">
      <c r="G36" s="23" t="s">
        <v>698</v>
      </c>
      <c r="H36" s="11" t="s">
        <v>699</v>
      </c>
      <c r="I36" s="11">
        <v>0</v>
      </c>
    </row>
    <row r="38" spans="3:13" x14ac:dyDescent="0.25">
      <c r="D38" s="11" t="s">
        <v>686</v>
      </c>
      <c r="F38" s="64"/>
      <c r="H38" s="11" t="s">
        <v>686</v>
      </c>
    </row>
    <row r="39" spans="3:13" x14ac:dyDescent="0.25">
      <c r="D39" s="68" t="s">
        <v>700</v>
      </c>
      <c r="E39" s="70">
        <v>0</v>
      </c>
      <c r="H39" s="63" t="s">
        <v>701</v>
      </c>
      <c r="I39" s="11">
        <v>588</v>
      </c>
    </row>
    <row r="40" spans="3:13" x14ac:dyDescent="0.25">
      <c r="D40" s="68" t="s">
        <v>702</v>
      </c>
      <c r="E40" s="68">
        <v>7210.666666666667</v>
      </c>
      <c r="H40" s="63" t="s">
        <v>703</v>
      </c>
      <c r="I40" s="11">
        <v>0</v>
      </c>
    </row>
    <row r="41" spans="3:13" x14ac:dyDescent="0.25">
      <c r="D41" s="68" t="s">
        <v>704</v>
      </c>
      <c r="E41" s="70">
        <v>124.7</v>
      </c>
      <c r="H41" s="11" t="s">
        <v>704</v>
      </c>
      <c r="I41" s="11">
        <v>0</v>
      </c>
    </row>
    <row r="42" spans="3:13" x14ac:dyDescent="0.25">
      <c r="D42" s="68" t="s">
        <v>705</v>
      </c>
      <c r="E42" s="70">
        <v>0</v>
      </c>
      <c r="H42" s="11" t="s">
        <v>705</v>
      </c>
      <c r="I42" s="11">
        <v>0</v>
      </c>
    </row>
    <row r="43" spans="3:13" x14ac:dyDescent="0.25">
      <c r="D43" s="68" t="s">
        <v>528</v>
      </c>
      <c r="E43" s="70">
        <v>79.95</v>
      </c>
      <c r="H43" s="11" t="s">
        <v>528</v>
      </c>
      <c r="I43" s="11">
        <v>0</v>
      </c>
    </row>
    <row r="44" spans="3:13" x14ac:dyDescent="0.25">
      <c r="D44" s="11" t="s">
        <v>706</v>
      </c>
      <c r="E44" s="23">
        <f>AVERAGE(E39:E43)</f>
        <v>1483.0633333333333</v>
      </c>
      <c r="H44" s="11" t="s">
        <v>706</v>
      </c>
      <c r="I44" s="23">
        <f>AVERAGE(I39:I43)</f>
        <v>117.6</v>
      </c>
    </row>
    <row r="45" spans="3:13" x14ac:dyDescent="0.25">
      <c r="D45" s="11" t="s">
        <v>707</v>
      </c>
      <c r="E45" s="23">
        <f>STDEV(E39:E43)</f>
        <v>3202.2754260403999</v>
      </c>
      <c r="H45" s="11" t="s">
        <v>707</v>
      </c>
      <c r="I45" s="23">
        <f>STDEV(I39:I43)</f>
        <v>262.96159415397528</v>
      </c>
    </row>
    <row r="47" spans="3:13" x14ac:dyDescent="0.25">
      <c r="D47" s="63" t="s">
        <v>475</v>
      </c>
      <c r="E47" s="23">
        <f>I30-E44</f>
        <v>17448516.936666667</v>
      </c>
      <c r="H47" s="11" t="s">
        <v>475</v>
      </c>
      <c r="I47" s="23">
        <f>L30-I44</f>
        <v>36869993.51111111</v>
      </c>
    </row>
    <row r="50" spans="1:17" x14ac:dyDescent="0.25">
      <c r="D50" s="11" t="s">
        <v>472</v>
      </c>
      <c r="E50" s="12">
        <f>SQRT((I30/3)+(E44/5))</f>
        <v>2411.8381536357979</v>
      </c>
      <c r="H50" s="11" t="s">
        <v>472</v>
      </c>
      <c r="I50" s="11">
        <f>SQRT((L30/3)+(I44/5))</f>
        <v>3505.7182654966782</v>
      </c>
    </row>
    <row r="52" spans="1:17" x14ac:dyDescent="0.25">
      <c r="A52" t="s">
        <v>758</v>
      </c>
      <c r="D52" s="11" t="s">
        <v>765</v>
      </c>
      <c r="F52" s="23" t="s">
        <v>763</v>
      </c>
      <c r="P52" s="11" t="s">
        <v>797</v>
      </c>
    </row>
    <row r="53" spans="1:17" ht="30" x14ac:dyDescent="0.25">
      <c r="A53" s="5" t="s">
        <v>42</v>
      </c>
      <c r="B53" s="6" t="s">
        <v>43</v>
      </c>
      <c r="C53" s="7" t="s">
        <v>44</v>
      </c>
      <c r="D53" s="7" t="s">
        <v>45</v>
      </c>
      <c r="E53" s="8" t="s">
        <v>46</v>
      </c>
      <c r="F53" s="9" t="s">
        <v>47</v>
      </c>
      <c r="G53" s="10" t="s">
        <v>48</v>
      </c>
      <c r="H53" s="10" t="s">
        <v>781</v>
      </c>
      <c r="J53" s="11"/>
      <c r="K53" s="12" t="s">
        <v>774</v>
      </c>
      <c r="M53" s="11" t="s">
        <v>773</v>
      </c>
      <c r="N53" s="12" t="s">
        <v>472</v>
      </c>
      <c r="P53" s="106" t="s">
        <v>798</v>
      </c>
      <c r="Q53" s="11" t="s">
        <v>472</v>
      </c>
    </row>
    <row r="54" spans="1:17" ht="38.25" x14ac:dyDescent="0.25">
      <c r="A54" s="13" t="s">
        <v>746</v>
      </c>
      <c r="B54" s="14">
        <v>1</v>
      </c>
      <c r="C54" s="15"/>
      <c r="D54" s="16"/>
      <c r="E54" s="17"/>
      <c r="F54" s="15">
        <f>I11</f>
        <v>35700000</v>
      </c>
      <c r="G54" s="149" t="s">
        <v>51</v>
      </c>
      <c r="H54" s="150"/>
      <c r="J54" s="11"/>
      <c r="K54" s="12">
        <f>LOG(F54)</f>
        <v>7.5526682161121936</v>
      </c>
      <c r="M54" s="12">
        <f>(LOG(GEOMEAN(F55:F57)))-(LOG(GEOMEAN(F58:F62)))</f>
        <v>5.6392412453332854</v>
      </c>
      <c r="N54" s="90">
        <f>SQRT(VAR(K55:K57)/3+(VAR(K58:K62)/5))</f>
        <v>0.73518427328761482</v>
      </c>
      <c r="P54" s="12">
        <f>AVERAGE(K55:K57)</f>
        <v>7.2105733135538204</v>
      </c>
      <c r="Q54" s="12">
        <f>SQRT(VAR(K55:K57)/3)</f>
        <v>0.11357640727698076</v>
      </c>
    </row>
    <row r="55" spans="1:17" x14ac:dyDescent="0.25">
      <c r="A55" s="148" t="s">
        <v>748</v>
      </c>
      <c r="B55" s="14">
        <v>1</v>
      </c>
      <c r="C55" s="15"/>
      <c r="D55" s="16"/>
      <c r="E55" s="17"/>
      <c r="F55" s="15">
        <f>I14</f>
        <v>13776000</v>
      </c>
      <c r="G55" s="151">
        <f>AVERAGE(F55:F57)</f>
        <v>17450000</v>
      </c>
      <c r="H55" s="170">
        <f>STDEV(F55:F57)</f>
        <v>8439739.0954934154</v>
      </c>
      <c r="J55" s="11"/>
      <c r="K55" s="12">
        <f t="shared" ref="K55:K62" si="1">LOG(F55)</f>
        <v>7.1391231341095791</v>
      </c>
    </row>
    <row r="56" spans="1:17" x14ac:dyDescent="0.25">
      <c r="A56" s="148"/>
      <c r="B56" s="14">
        <v>2</v>
      </c>
      <c r="C56" s="15"/>
      <c r="D56" s="16"/>
      <c r="E56" s="17"/>
      <c r="F56" s="15">
        <f>I17</f>
        <v>27104000</v>
      </c>
      <c r="G56" s="152"/>
      <c r="H56" s="171"/>
      <c r="I56" s="21">
        <f>G55/F54</f>
        <v>0.4887955182072829</v>
      </c>
      <c r="J56" s="22" t="s">
        <v>52</v>
      </c>
      <c r="K56" s="12">
        <f t="shared" si="1"/>
        <v>7.433033388650613</v>
      </c>
    </row>
    <row r="57" spans="1:17" x14ac:dyDescent="0.25">
      <c r="A57" s="148"/>
      <c r="B57" s="14">
        <v>3</v>
      </c>
      <c r="C57" s="15"/>
      <c r="D57" s="16"/>
      <c r="E57" s="17"/>
      <c r="F57" s="15">
        <f>I20</f>
        <v>11470000</v>
      </c>
      <c r="G57" s="152"/>
      <c r="H57" s="171"/>
      <c r="I57" s="18"/>
      <c r="J57" s="20"/>
      <c r="K57" s="12">
        <f t="shared" si="1"/>
        <v>7.0595634179012681</v>
      </c>
    </row>
    <row r="58" spans="1:17" x14ac:dyDescent="0.25">
      <c r="A58" s="148" t="s">
        <v>749</v>
      </c>
      <c r="B58" s="14">
        <v>1</v>
      </c>
      <c r="C58" s="65"/>
      <c r="D58" s="17"/>
      <c r="E58" s="15"/>
      <c r="F58" s="66">
        <v>1</v>
      </c>
      <c r="G58" s="145">
        <f>AVERAGE(F58:F62)</f>
        <v>1483.4633333333334</v>
      </c>
      <c r="H58" s="147">
        <f>STDEV(F58:F62)</f>
        <v>3202.0439005249273</v>
      </c>
      <c r="J58" s="11"/>
      <c r="K58" s="12">
        <f t="shared" si="1"/>
        <v>0</v>
      </c>
    </row>
    <row r="59" spans="1:17" x14ac:dyDescent="0.25">
      <c r="A59" s="148"/>
      <c r="B59" s="14">
        <v>2</v>
      </c>
      <c r="C59" s="65"/>
      <c r="D59" s="17"/>
      <c r="E59" s="15"/>
      <c r="F59" s="66">
        <f t="shared" ref="F59:F62" si="2">E40</f>
        <v>7210.666666666667</v>
      </c>
      <c r="G59" s="146"/>
      <c r="H59" s="146"/>
      <c r="J59" s="11"/>
      <c r="K59" s="12">
        <f t="shared" si="1"/>
        <v>3.8579754195418796</v>
      </c>
    </row>
    <row r="60" spans="1:17" x14ac:dyDescent="0.25">
      <c r="A60" s="148"/>
      <c r="B60" s="14">
        <v>3</v>
      </c>
      <c r="C60" s="65"/>
      <c r="D60" s="17"/>
      <c r="E60" s="15"/>
      <c r="F60" s="66">
        <f t="shared" si="2"/>
        <v>124.7</v>
      </c>
      <c r="G60" s="146"/>
      <c r="H60" s="146"/>
      <c r="J60" s="11"/>
      <c r="K60" s="12">
        <f t="shared" si="1"/>
        <v>2.0958664534785427</v>
      </c>
    </row>
    <row r="61" spans="1:17" x14ac:dyDescent="0.25">
      <c r="A61" s="148"/>
      <c r="B61" s="14">
        <v>4</v>
      </c>
      <c r="C61" s="65"/>
      <c r="D61" s="17"/>
      <c r="E61" s="15"/>
      <c r="F61" s="66">
        <v>1</v>
      </c>
      <c r="G61" s="146"/>
      <c r="H61" s="146"/>
      <c r="J61" s="11"/>
      <c r="K61" s="12">
        <f t="shared" si="1"/>
        <v>0</v>
      </c>
    </row>
    <row r="62" spans="1:17" x14ac:dyDescent="0.25">
      <c r="A62" s="148"/>
      <c r="B62" s="14">
        <v>5</v>
      </c>
      <c r="C62" s="65"/>
      <c r="D62" s="17"/>
      <c r="E62" s="15"/>
      <c r="F62" s="66">
        <f t="shared" si="2"/>
        <v>79.95</v>
      </c>
      <c r="G62" s="123"/>
      <c r="H62" s="123"/>
      <c r="J62" s="11"/>
      <c r="K62" s="12">
        <f t="shared" si="1"/>
        <v>1.9028184680822535</v>
      </c>
    </row>
    <row r="64" spans="1:17" x14ac:dyDescent="0.25">
      <c r="F64" s="24" t="s">
        <v>775</v>
      </c>
      <c r="K64" s="24" t="s">
        <v>779</v>
      </c>
    </row>
    <row r="65" spans="1:7" x14ac:dyDescent="0.25">
      <c r="F65" s="23" t="s">
        <v>776</v>
      </c>
      <c r="G65" s="12"/>
    </row>
    <row r="66" spans="1:7" x14ac:dyDescent="0.25">
      <c r="F66" s="23" t="s">
        <v>777</v>
      </c>
    </row>
    <row r="68" spans="1:7" x14ac:dyDescent="0.25">
      <c r="B68" s="11" t="s">
        <v>808</v>
      </c>
      <c r="C68" s="11" t="s">
        <v>810</v>
      </c>
      <c r="D68" s="12" t="s">
        <v>809</v>
      </c>
    </row>
    <row r="69" spans="1:7" x14ac:dyDescent="0.25">
      <c r="A69" t="s">
        <v>799</v>
      </c>
      <c r="B69" s="11">
        <f>LOG(F55)</f>
        <v>7.1391231341095791</v>
      </c>
      <c r="C69" s="12">
        <f>AVERAGE(B69:B71)</f>
        <v>7.2105733135538204</v>
      </c>
      <c r="D69" s="12">
        <f>STDEV(B69:B71)</f>
        <v>0.19672010794486625</v>
      </c>
    </row>
    <row r="70" spans="1:7" x14ac:dyDescent="0.25">
      <c r="B70" s="11">
        <f t="shared" ref="B70:B76" si="3">LOG(F56)</f>
        <v>7.433033388650613</v>
      </c>
      <c r="D70" s="12"/>
    </row>
    <row r="71" spans="1:7" x14ac:dyDescent="0.25">
      <c r="B71" s="11">
        <f t="shared" si="3"/>
        <v>7.0595634179012681</v>
      </c>
      <c r="D71" s="12"/>
    </row>
    <row r="72" spans="1:7" x14ac:dyDescent="0.25">
      <c r="A72" t="s">
        <v>807</v>
      </c>
      <c r="B72" s="11">
        <f t="shared" si="3"/>
        <v>0</v>
      </c>
      <c r="C72" s="11">
        <f>AVERAGE(B72:B76)</f>
        <v>1.5713320682205354</v>
      </c>
      <c r="D72" s="12">
        <f>STDEV(B72:B76)</f>
        <v>1.6241864354185016</v>
      </c>
    </row>
    <row r="73" spans="1:7" x14ac:dyDescent="0.25">
      <c r="B73" s="11">
        <f t="shared" si="3"/>
        <v>3.8579754195418796</v>
      </c>
      <c r="D73" s="12"/>
    </row>
    <row r="74" spans="1:7" x14ac:dyDescent="0.25">
      <c r="B74" s="11">
        <f t="shared" si="3"/>
        <v>2.0958664534785427</v>
      </c>
      <c r="D74" s="12"/>
    </row>
    <row r="75" spans="1:7" x14ac:dyDescent="0.25">
      <c r="B75" s="11">
        <f t="shared" si="3"/>
        <v>0</v>
      </c>
      <c r="D75" s="12"/>
    </row>
    <row r="76" spans="1:7" x14ac:dyDescent="0.25">
      <c r="B76" s="11">
        <f t="shared" si="3"/>
        <v>1.9028184680822535</v>
      </c>
      <c r="D76" s="12"/>
    </row>
  </sheetData>
  <mergeCells count="7">
    <mergeCell ref="G54:H54"/>
    <mergeCell ref="A55:A57"/>
    <mergeCell ref="G55:G57"/>
    <mergeCell ref="H55:H57"/>
    <mergeCell ref="A58:A62"/>
    <mergeCell ref="G58:G62"/>
    <mergeCell ref="H58:H6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topLeftCell="A37" workbookViewId="0">
      <selection activeCell="B59" sqref="B59:B61"/>
    </sheetView>
  </sheetViews>
  <sheetFormatPr defaultRowHeight="15" x14ac:dyDescent="0.25"/>
  <cols>
    <col min="2" max="2" width="9.140625" style="11"/>
    <col min="3" max="3" width="14.140625" style="11" customWidth="1"/>
    <col min="4" max="4" width="11.140625" style="11" customWidth="1"/>
    <col min="5" max="5" width="9.140625" style="12"/>
    <col min="6" max="6" width="9.140625" style="23"/>
    <col min="7" max="8" width="13.28515625" style="11" customWidth="1"/>
    <col min="9" max="9" width="9" style="11" customWidth="1"/>
    <col min="10" max="10" width="9.140625" style="24"/>
    <col min="11" max="11" width="9.140625" style="12"/>
    <col min="12" max="13" width="9.140625" style="11"/>
    <col min="14" max="15" width="9.140625" style="12"/>
    <col min="16" max="23" width="9.140625" style="11"/>
    <col min="24" max="25" width="9.140625" style="12"/>
    <col min="26" max="26" width="9.140625" style="24"/>
    <col min="27" max="27" width="21.42578125" customWidth="1"/>
    <col min="259" max="259" width="14.140625" customWidth="1"/>
    <col min="260" max="260" width="11.140625" customWidth="1"/>
    <col min="263" max="264" width="13.28515625" customWidth="1"/>
    <col min="265" max="265" width="9" customWidth="1"/>
    <col min="283" max="283" width="21.42578125" customWidth="1"/>
    <col min="515" max="515" width="14.140625" customWidth="1"/>
    <col min="516" max="516" width="11.140625" customWidth="1"/>
    <col min="519" max="520" width="13.28515625" customWidth="1"/>
    <col min="521" max="521" width="9" customWidth="1"/>
    <col min="539" max="539" width="21.42578125" customWidth="1"/>
    <col min="771" max="771" width="14.140625" customWidth="1"/>
    <col min="772" max="772" width="11.140625" customWidth="1"/>
    <col min="775" max="776" width="13.28515625" customWidth="1"/>
    <col min="777" max="777" width="9" customWidth="1"/>
    <col min="795" max="795" width="21.42578125" customWidth="1"/>
    <col min="1027" max="1027" width="14.140625" customWidth="1"/>
    <col min="1028" max="1028" width="11.140625" customWidth="1"/>
    <col min="1031" max="1032" width="13.28515625" customWidth="1"/>
    <col min="1033" max="1033" width="9" customWidth="1"/>
    <col min="1051" max="1051" width="21.42578125" customWidth="1"/>
    <col min="1283" max="1283" width="14.140625" customWidth="1"/>
    <col min="1284" max="1284" width="11.140625" customWidth="1"/>
    <col min="1287" max="1288" width="13.28515625" customWidth="1"/>
    <col min="1289" max="1289" width="9" customWidth="1"/>
    <col min="1307" max="1307" width="21.42578125" customWidth="1"/>
    <col min="1539" max="1539" width="14.140625" customWidth="1"/>
    <col min="1540" max="1540" width="11.140625" customWidth="1"/>
    <col min="1543" max="1544" width="13.28515625" customWidth="1"/>
    <col min="1545" max="1545" width="9" customWidth="1"/>
    <col min="1563" max="1563" width="21.42578125" customWidth="1"/>
    <col min="1795" max="1795" width="14.140625" customWidth="1"/>
    <col min="1796" max="1796" width="11.140625" customWidth="1"/>
    <col min="1799" max="1800" width="13.28515625" customWidth="1"/>
    <col min="1801" max="1801" width="9" customWidth="1"/>
    <col min="1819" max="1819" width="21.42578125" customWidth="1"/>
    <col min="2051" max="2051" width="14.140625" customWidth="1"/>
    <col min="2052" max="2052" width="11.140625" customWidth="1"/>
    <col min="2055" max="2056" width="13.28515625" customWidth="1"/>
    <col min="2057" max="2057" width="9" customWidth="1"/>
    <col min="2075" max="2075" width="21.42578125" customWidth="1"/>
    <col min="2307" max="2307" width="14.140625" customWidth="1"/>
    <col min="2308" max="2308" width="11.140625" customWidth="1"/>
    <col min="2311" max="2312" width="13.28515625" customWidth="1"/>
    <col min="2313" max="2313" width="9" customWidth="1"/>
    <col min="2331" max="2331" width="21.42578125" customWidth="1"/>
    <col min="2563" max="2563" width="14.140625" customWidth="1"/>
    <col min="2564" max="2564" width="11.140625" customWidth="1"/>
    <col min="2567" max="2568" width="13.28515625" customWidth="1"/>
    <col min="2569" max="2569" width="9" customWidth="1"/>
    <col min="2587" max="2587" width="21.42578125" customWidth="1"/>
    <col min="2819" max="2819" width="14.140625" customWidth="1"/>
    <col min="2820" max="2820" width="11.140625" customWidth="1"/>
    <col min="2823" max="2824" width="13.28515625" customWidth="1"/>
    <col min="2825" max="2825" width="9" customWidth="1"/>
    <col min="2843" max="2843" width="21.42578125" customWidth="1"/>
    <col min="3075" max="3075" width="14.140625" customWidth="1"/>
    <col min="3076" max="3076" width="11.140625" customWidth="1"/>
    <col min="3079" max="3080" width="13.28515625" customWidth="1"/>
    <col min="3081" max="3081" width="9" customWidth="1"/>
    <col min="3099" max="3099" width="21.42578125" customWidth="1"/>
    <col min="3331" max="3331" width="14.140625" customWidth="1"/>
    <col min="3332" max="3332" width="11.140625" customWidth="1"/>
    <col min="3335" max="3336" width="13.28515625" customWidth="1"/>
    <col min="3337" max="3337" width="9" customWidth="1"/>
    <col min="3355" max="3355" width="21.42578125" customWidth="1"/>
    <col min="3587" max="3587" width="14.140625" customWidth="1"/>
    <col min="3588" max="3588" width="11.140625" customWidth="1"/>
    <col min="3591" max="3592" width="13.28515625" customWidth="1"/>
    <col min="3593" max="3593" width="9" customWidth="1"/>
    <col min="3611" max="3611" width="21.42578125" customWidth="1"/>
    <col min="3843" max="3843" width="14.140625" customWidth="1"/>
    <col min="3844" max="3844" width="11.140625" customWidth="1"/>
    <col min="3847" max="3848" width="13.28515625" customWidth="1"/>
    <col min="3849" max="3849" width="9" customWidth="1"/>
    <col min="3867" max="3867" width="21.42578125" customWidth="1"/>
    <col min="4099" max="4099" width="14.140625" customWidth="1"/>
    <col min="4100" max="4100" width="11.140625" customWidth="1"/>
    <col min="4103" max="4104" width="13.28515625" customWidth="1"/>
    <col min="4105" max="4105" width="9" customWidth="1"/>
    <col min="4123" max="4123" width="21.42578125" customWidth="1"/>
    <col min="4355" max="4355" width="14.140625" customWidth="1"/>
    <col min="4356" max="4356" width="11.140625" customWidth="1"/>
    <col min="4359" max="4360" width="13.28515625" customWidth="1"/>
    <col min="4361" max="4361" width="9" customWidth="1"/>
    <col min="4379" max="4379" width="21.42578125" customWidth="1"/>
    <col min="4611" max="4611" width="14.140625" customWidth="1"/>
    <col min="4612" max="4612" width="11.140625" customWidth="1"/>
    <col min="4615" max="4616" width="13.28515625" customWidth="1"/>
    <col min="4617" max="4617" width="9" customWidth="1"/>
    <col min="4635" max="4635" width="21.42578125" customWidth="1"/>
    <col min="4867" max="4867" width="14.140625" customWidth="1"/>
    <col min="4868" max="4868" width="11.140625" customWidth="1"/>
    <col min="4871" max="4872" width="13.28515625" customWidth="1"/>
    <col min="4873" max="4873" width="9" customWidth="1"/>
    <col min="4891" max="4891" width="21.42578125" customWidth="1"/>
    <col min="5123" max="5123" width="14.140625" customWidth="1"/>
    <col min="5124" max="5124" width="11.140625" customWidth="1"/>
    <col min="5127" max="5128" width="13.28515625" customWidth="1"/>
    <col min="5129" max="5129" width="9" customWidth="1"/>
    <col min="5147" max="5147" width="21.42578125" customWidth="1"/>
    <col min="5379" max="5379" width="14.140625" customWidth="1"/>
    <col min="5380" max="5380" width="11.140625" customWidth="1"/>
    <col min="5383" max="5384" width="13.28515625" customWidth="1"/>
    <col min="5385" max="5385" width="9" customWidth="1"/>
    <col min="5403" max="5403" width="21.42578125" customWidth="1"/>
    <col min="5635" max="5635" width="14.140625" customWidth="1"/>
    <col min="5636" max="5636" width="11.140625" customWidth="1"/>
    <col min="5639" max="5640" width="13.28515625" customWidth="1"/>
    <col min="5641" max="5641" width="9" customWidth="1"/>
    <col min="5659" max="5659" width="21.42578125" customWidth="1"/>
    <col min="5891" max="5891" width="14.140625" customWidth="1"/>
    <col min="5892" max="5892" width="11.140625" customWidth="1"/>
    <col min="5895" max="5896" width="13.28515625" customWidth="1"/>
    <col min="5897" max="5897" width="9" customWidth="1"/>
    <col min="5915" max="5915" width="21.42578125" customWidth="1"/>
    <col min="6147" max="6147" width="14.140625" customWidth="1"/>
    <col min="6148" max="6148" width="11.140625" customWidth="1"/>
    <col min="6151" max="6152" width="13.28515625" customWidth="1"/>
    <col min="6153" max="6153" width="9" customWidth="1"/>
    <col min="6171" max="6171" width="21.42578125" customWidth="1"/>
    <col min="6403" max="6403" width="14.140625" customWidth="1"/>
    <col min="6404" max="6404" width="11.140625" customWidth="1"/>
    <col min="6407" max="6408" width="13.28515625" customWidth="1"/>
    <col min="6409" max="6409" width="9" customWidth="1"/>
    <col min="6427" max="6427" width="21.42578125" customWidth="1"/>
    <col min="6659" max="6659" width="14.140625" customWidth="1"/>
    <col min="6660" max="6660" width="11.140625" customWidth="1"/>
    <col min="6663" max="6664" width="13.28515625" customWidth="1"/>
    <col min="6665" max="6665" width="9" customWidth="1"/>
    <col min="6683" max="6683" width="21.42578125" customWidth="1"/>
    <col min="6915" max="6915" width="14.140625" customWidth="1"/>
    <col min="6916" max="6916" width="11.140625" customWidth="1"/>
    <col min="6919" max="6920" width="13.28515625" customWidth="1"/>
    <col min="6921" max="6921" width="9" customWidth="1"/>
    <col min="6939" max="6939" width="21.42578125" customWidth="1"/>
    <col min="7171" max="7171" width="14.140625" customWidth="1"/>
    <col min="7172" max="7172" width="11.140625" customWidth="1"/>
    <col min="7175" max="7176" width="13.28515625" customWidth="1"/>
    <col min="7177" max="7177" width="9" customWidth="1"/>
    <col min="7195" max="7195" width="21.42578125" customWidth="1"/>
    <col min="7427" max="7427" width="14.140625" customWidth="1"/>
    <col min="7428" max="7428" width="11.140625" customWidth="1"/>
    <col min="7431" max="7432" width="13.28515625" customWidth="1"/>
    <col min="7433" max="7433" width="9" customWidth="1"/>
    <col min="7451" max="7451" width="21.42578125" customWidth="1"/>
    <col min="7683" max="7683" width="14.140625" customWidth="1"/>
    <col min="7684" max="7684" width="11.140625" customWidth="1"/>
    <col min="7687" max="7688" width="13.28515625" customWidth="1"/>
    <col min="7689" max="7689" width="9" customWidth="1"/>
    <col min="7707" max="7707" width="21.42578125" customWidth="1"/>
    <col min="7939" max="7939" width="14.140625" customWidth="1"/>
    <col min="7940" max="7940" width="11.140625" customWidth="1"/>
    <col min="7943" max="7944" width="13.28515625" customWidth="1"/>
    <col min="7945" max="7945" width="9" customWidth="1"/>
    <col min="7963" max="7963" width="21.42578125" customWidth="1"/>
    <col min="8195" max="8195" width="14.140625" customWidth="1"/>
    <col min="8196" max="8196" width="11.140625" customWidth="1"/>
    <col min="8199" max="8200" width="13.28515625" customWidth="1"/>
    <col min="8201" max="8201" width="9" customWidth="1"/>
    <col min="8219" max="8219" width="21.42578125" customWidth="1"/>
    <col min="8451" max="8451" width="14.140625" customWidth="1"/>
    <col min="8452" max="8452" width="11.140625" customWidth="1"/>
    <col min="8455" max="8456" width="13.28515625" customWidth="1"/>
    <col min="8457" max="8457" width="9" customWidth="1"/>
    <col min="8475" max="8475" width="21.42578125" customWidth="1"/>
    <col min="8707" max="8707" width="14.140625" customWidth="1"/>
    <col min="8708" max="8708" width="11.140625" customWidth="1"/>
    <col min="8711" max="8712" width="13.28515625" customWidth="1"/>
    <col min="8713" max="8713" width="9" customWidth="1"/>
    <col min="8731" max="8731" width="21.42578125" customWidth="1"/>
    <col min="8963" max="8963" width="14.140625" customWidth="1"/>
    <col min="8964" max="8964" width="11.140625" customWidth="1"/>
    <col min="8967" max="8968" width="13.28515625" customWidth="1"/>
    <col min="8969" max="8969" width="9" customWidth="1"/>
    <col min="8987" max="8987" width="21.42578125" customWidth="1"/>
    <col min="9219" max="9219" width="14.140625" customWidth="1"/>
    <col min="9220" max="9220" width="11.140625" customWidth="1"/>
    <col min="9223" max="9224" width="13.28515625" customWidth="1"/>
    <col min="9225" max="9225" width="9" customWidth="1"/>
    <col min="9243" max="9243" width="21.42578125" customWidth="1"/>
    <col min="9475" max="9475" width="14.140625" customWidth="1"/>
    <col min="9476" max="9476" width="11.140625" customWidth="1"/>
    <col min="9479" max="9480" width="13.28515625" customWidth="1"/>
    <col min="9481" max="9481" width="9" customWidth="1"/>
    <col min="9499" max="9499" width="21.42578125" customWidth="1"/>
    <col min="9731" max="9731" width="14.140625" customWidth="1"/>
    <col min="9732" max="9732" width="11.140625" customWidth="1"/>
    <col min="9735" max="9736" width="13.28515625" customWidth="1"/>
    <col min="9737" max="9737" width="9" customWidth="1"/>
    <col min="9755" max="9755" width="21.42578125" customWidth="1"/>
    <col min="9987" max="9987" width="14.140625" customWidth="1"/>
    <col min="9988" max="9988" width="11.140625" customWidth="1"/>
    <col min="9991" max="9992" width="13.28515625" customWidth="1"/>
    <col min="9993" max="9993" width="9" customWidth="1"/>
    <col min="10011" max="10011" width="21.42578125" customWidth="1"/>
    <col min="10243" max="10243" width="14.140625" customWidth="1"/>
    <col min="10244" max="10244" width="11.140625" customWidth="1"/>
    <col min="10247" max="10248" width="13.28515625" customWidth="1"/>
    <col min="10249" max="10249" width="9" customWidth="1"/>
    <col min="10267" max="10267" width="21.42578125" customWidth="1"/>
    <col min="10499" max="10499" width="14.140625" customWidth="1"/>
    <col min="10500" max="10500" width="11.140625" customWidth="1"/>
    <col min="10503" max="10504" width="13.28515625" customWidth="1"/>
    <col min="10505" max="10505" width="9" customWidth="1"/>
    <col min="10523" max="10523" width="21.42578125" customWidth="1"/>
    <col min="10755" max="10755" width="14.140625" customWidth="1"/>
    <col min="10756" max="10756" width="11.140625" customWidth="1"/>
    <col min="10759" max="10760" width="13.28515625" customWidth="1"/>
    <col min="10761" max="10761" width="9" customWidth="1"/>
    <col min="10779" max="10779" width="21.42578125" customWidth="1"/>
    <col min="11011" max="11011" width="14.140625" customWidth="1"/>
    <col min="11012" max="11012" width="11.140625" customWidth="1"/>
    <col min="11015" max="11016" width="13.28515625" customWidth="1"/>
    <col min="11017" max="11017" width="9" customWidth="1"/>
    <col min="11035" max="11035" width="21.42578125" customWidth="1"/>
    <col min="11267" max="11267" width="14.140625" customWidth="1"/>
    <col min="11268" max="11268" width="11.140625" customWidth="1"/>
    <col min="11271" max="11272" width="13.28515625" customWidth="1"/>
    <col min="11273" max="11273" width="9" customWidth="1"/>
    <col min="11291" max="11291" width="21.42578125" customWidth="1"/>
    <col min="11523" max="11523" width="14.140625" customWidth="1"/>
    <col min="11524" max="11524" width="11.140625" customWidth="1"/>
    <col min="11527" max="11528" width="13.28515625" customWidth="1"/>
    <col min="11529" max="11529" width="9" customWidth="1"/>
    <col min="11547" max="11547" width="21.42578125" customWidth="1"/>
    <col min="11779" max="11779" width="14.140625" customWidth="1"/>
    <col min="11780" max="11780" width="11.140625" customWidth="1"/>
    <col min="11783" max="11784" width="13.28515625" customWidth="1"/>
    <col min="11785" max="11785" width="9" customWidth="1"/>
    <col min="11803" max="11803" width="21.42578125" customWidth="1"/>
    <col min="12035" max="12035" width="14.140625" customWidth="1"/>
    <col min="12036" max="12036" width="11.140625" customWidth="1"/>
    <col min="12039" max="12040" width="13.28515625" customWidth="1"/>
    <col min="12041" max="12041" width="9" customWidth="1"/>
    <col min="12059" max="12059" width="21.42578125" customWidth="1"/>
    <col min="12291" max="12291" width="14.140625" customWidth="1"/>
    <col min="12292" max="12292" width="11.140625" customWidth="1"/>
    <col min="12295" max="12296" width="13.28515625" customWidth="1"/>
    <col min="12297" max="12297" width="9" customWidth="1"/>
    <col min="12315" max="12315" width="21.42578125" customWidth="1"/>
    <col min="12547" max="12547" width="14.140625" customWidth="1"/>
    <col min="12548" max="12548" width="11.140625" customWidth="1"/>
    <col min="12551" max="12552" width="13.28515625" customWidth="1"/>
    <col min="12553" max="12553" width="9" customWidth="1"/>
    <col min="12571" max="12571" width="21.42578125" customWidth="1"/>
    <col min="12803" max="12803" width="14.140625" customWidth="1"/>
    <col min="12804" max="12804" width="11.140625" customWidth="1"/>
    <col min="12807" max="12808" width="13.28515625" customWidth="1"/>
    <col min="12809" max="12809" width="9" customWidth="1"/>
    <col min="12827" max="12827" width="21.42578125" customWidth="1"/>
    <col min="13059" max="13059" width="14.140625" customWidth="1"/>
    <col min="13060" max="13060" width="11.140625" customWidth="1"/>
    <col min="13063" max="13064" width="13.28515625" customWidth="1"/>
    <col min="13065" max="13065" width="9" customWidth="1"/>
    <col min="13083" max="13083" width="21.42578125" customWidth="1"/>
    <col min="13315" max="13315" width="14.140625" customWidth="1"/>
    <col min="13316" max="13316" width="11.140625" customWidth="1"/>
    <col min="13319" max="13320" width="13.28515625" customWidth="1"/>
    <col min="13321" max="13321" width="9" customWidth="1"/>
    <col min="13339" max="13339" width="21.42578125" customWidth="1"/>
    <col min="13571" max="13571" width="14.140625" customWidth="1"/>
    <col min="13572" max="13572" width="11.140625" customWidth="1"/>
    <col min="13575" max="13576" width="13.28515625" customWidth="1"/>
    <col min="13577" max="13577" width="9" customWidth="1"/>
    <col min="13595" max="13595" width="21.42578125" customWidth="1"/>
    <col min="13827" max="13827" width="14.140625" customWidth="1"/>
    <col min="13828" max="13828" width="11.140625" customWidth="1"/>
    <col min="13831" max="13832" width="13.28515625" customWidth="1"/>
    <col min="13833" max="13833" width="9" customWidth="1"/>
    <col min="13851" max="13851" width="21.42578125" customWidth="1"/>
    <col min="14083" max="14083" width="14.140625" customWidth="1"/>
    <col min="14084" max="14084" width="11.140625" customWidth="1"/>
    <col min="14087" max="14088" width="13.28515625" customWidth="1"/>
    <col min="14089" max="14089" width="9" customWidth="1"/>
    <col min="14107" max="14107" width="21.42578125" customWidth="1"/>
    <col min="14339" max="14339" width="14.140625" customWidth="1"/>
    <col min="14340" max="14340" width="11.140625" customWidth="1"/>
    <col min="14343" max="14344" width="13.28515625" customWidth="1"/>
    <col min="14345" max="14345" width="9" customWidth="1"/>
    <col min="14363" max="14363" width="21.42578125" customWidth="1"/>
    <col min="14595" max="14595" width="14.140625" customWidth="1"/>
    <col min="14596" max="14596" width="11.140625" customWidth="1"/>
    <col min="14599" max="14600" width="13.28515625" customWidth="1"/>
    <col min="14601" max="14601" width="9" customWidth="1"/>
    <col min="14619" max="14619" width="21.42578125" customWidth="1"/>
    <col min="14851" max="14851" width="14.140625" customWidth="1"/>
    <col min="14852" max="14852" width="11.140625" customWidth="1"/>
    <col min="14855" max="14856" width="13.28515625" customWidth="1"/>
    <col min="14857" max="14857" width="9" customWidth="1"/>
    <col min="14875" max="14875" width="21.42578125" customWidth="1"/>
    <col min="15107" max="15107" width="14.140625" customWidth="1"/>
    <col min="15108" max="15108" width="11.140625" customWidth="1"/>
    <col min="15111" max="15112" width="13.28515625" customWidth="1"/>
    <col min="15113" max="15113" width="9" customWidth="1"/>
    <col min="15131" max="15131" width="21.42578125" customWidth="1"/>
    <col min="15363" max="15363" width="14.140625" customWidth="1"/>
    <col min="15364" max="15364" width="11.140625" customWidth="1"/>
    <col min="15367" max="15368" width="13.28515625" customWidth="1"/>
    <col min="15369" max="15369" width="9" customWidth="1"/>
    <col min="15387" max="15387" width="21.42578125" customWidth="1"/>
    <col min="15619" max="15619" width="14.140625" customWidth="1"/>
    <col min="15620" max="15620" width="11.140625" customWidth="1"/>
    <col min="15623" max="15624" width="13.28515625" customWidth="1"/>
    <col min="15625" max="15625" width="9" customWidth="1"/>
    <col min="15643" max="15643" width="21.42578125" customWidth="1"/>
    <col min="15875" max="15875" width="14.140625" customWidth="1"/>
    <col min="15876" max="15876" width="11.140625" customWidth="1"/>
    <col min="15879" max="15880" width="13.28515625" customWidth="1"/>
    <col min="15881" max="15881" width="9" customWidth="1"/>
    <col min="15899" max="15899" width="21.42578125" customWidth="1"/>
    <col min="16131" max="16131" width="14.140625" customWidth="1"/>
    <col min="16132" max="16132" width="11.140625" customWidth="1"/>
    <col min="16135" max="16136" width="13.28515625" customWidth="1"/>
    <col min="16137" max="16137" width="9" customWidth="1"/>
    <col min="16155" max="16155" width="21.42578125" customWidth="1"/>
  </cols>
  <sheetData>
    <row r="1" spans="2:28" x14ac:dyDescent="0.25">
      <c r="B1" s="28" t="s">
        <v>56</v>
      </c>
      <c r="C1" s="28" t="s">
        <v>282</v>
      </c>
      <c r="D1" s="28" t="s">
        <v>57</v>
      </c>
      <c r="E1" s="29" t="s">
        <v>58</v>
      </c>
      <c r="F1" s="30" t="s">
        <v>59</v>
      </c>
      <c r="G1" s="28" t="s">
        <v>708</v>
      </c>
      <c r="H1" s="28" t="s">
        <v>47</v>
      </c>
      <c r="I1" s="28" t="s">
        <v>204</v>
      </c>
      <c r="J1" s="31" t="s">
        <v>61</v>
      </c>
      <c r="K1" s="29" t="s">
        <v>62</v>
      </c>
      <c r="L1" s="28" t="s">
        <v>63</v>
      </c>
      <c r="M1" s="28" t="s">
        <v>64</v>
      </c>
      <c r="N1" s="29" t="s">
        <v>65</v>
      </c>
      <c r="O1" s="29" t="s">
        <v>66</v>
      </c>
      <c r="P1" s="28" t="s">
        <v>67</v>
      </c>
      <c r="Q1" s="28" t="s">
        <v>68</v>
      </c>
      <c r="R1" s="28" t="s">
        <v>69</v>
      </c>
      <c r="S1" s="28" t="s">
        <v>70</v>
      </c>
      <c r="T1" s="28" t="s">
        <v>71</v>
      </c>
      <c r="U1" s="28" t="s">
        <v>72</v>
      </c>
      <c r="V1" s="28" t="s">
        <v>73</v>
      </c>
      <c r="W1" s="28" t="s">
        <v>74</v>
      </c>
      <c r="X1" s="29" t="s">
        <v>75</v>
      </c>
      <c r="Y1" s="29" t="s">
        <v>76</v>
      </c>
      <c r="Z1" s="31" t="s">
        <v>77</v>
      </c>
      <c r="AA1" s="32" t="s">
        <v>78</v>
      </c>
      <c r="AB1" s="32" t="s">
        <v>79</v>
      </c>
    </row>
    <row r="2" spans="2:28" s="33" customFormat="1" x14ac:dyDescent="0.25">
      <c r="B2" s="11" t="s">
        <v>80</v>
      </c>
      <c r="C2" s="11" t="s">
        <v>709</v>
      </c>
      <c r="D2" s="11" t="s">
        <v>710</v>
      </c>
      <c r="E2" s="12">
        <v>3</v>
      </c>
      <c r="F2" s="23">
        <v>413000</v>
      </c>
      <c r="G2" s="11">
        <v>5.5</v>
      </c>
      <c r="H2" s="23">
        <f t="shared" ref="H2:H10" si="0">F2*G2</f>
        <v>2271500</v>
      </c>
      <c r="I2" s="23">
        <f>AVERAGE(H2:H4)</f>
        <v>2238500</v>
      </c>
      <c r="J2" s="24">
        <v>413</v>
      </c>
      <c r="K2" s="12">
        <v>1.1998271792222717</v>
      </c>
      <c r="L2" s="11" t="s">
        <v>672</v>
      </c>
      <c r="M2" s="11" t="s">
        <v>84</v>
      </c>
      <c r="N2" s="12">
        <v>0.1</v>
      </c>
      <c r="O2" s="12">
        <v>2</v>
      </c>
      <c r="P2" s="11" t="s">
        <v>82</v>
      </c>
      <c r="Q2" s="11" t="s">
        <v>82</v>
      </c>
      <c r="R2" s="11" t="s">
        <v>391</v>
      </c>
      <c r="S2" s="11" t="s">
        <v>209</v>
      </c>
      <c r="T2" s="11" t="s">
        <v>89</v>
      </c>
      <c r="U2" s="11" t="s">
        <v>90</v>
      </c>
      <c r="V2" s="11" t="s">
        <v>673</v>
      </c>
      <c r="W2" s="11" t="s">
        <v>82</v>
      </c>
      <c r="X2" s="12">
        <v>1</v>
      </c>
      <c r="Y2" s="12">
        <v>0</v>
      </c>
      <c r="Z2" s="24">
        <v>20</v>
      </c>
      <c r="AA2" s="33" t="s">
        <v>711</v>
      </c>
      <c r="AB2" s="33" t="s">
        <v>92</v>
      </c>
    </row>
    <row r="3" spans="2:28" x14ac:dyDescent="0.25">
      <c r="B3" s="11" t="s">
        <v>103</v>
      </c>
      <c r="C3" s="11" t="s">
        <v>712</v>
      </c>
      <c r="D3" s="11" t="s">
        <v>713</v>
      </c>
      <c r="E3" s="12">
        <v>3</v>
      </c>
      <c r="F3" s="23">
        <v>381000</v>
      </c>
      <c r="G3" s="11">
        <v>5.5</v>
      </c>
      <c r="H3" s="23">
        <f t="shared" si="0"/>
        <v>2095500</v>
      </c>
      <c r="J3" s="24">
        <v>381</v>
      </c>
      <c r="K3" s="12">
        <v>1.1139902993930668</v>
      </c>
      <c r="L3" s="11" t="s">
        <v>672</v>
      </c>
      <c r="M3" s="11" t="s">
        <v>84</v>
      </c>
      <c r="N3" s="12">
        <v>0.1</v>
      </c>
      <c r="O3" s="12">
        <v>2</v>
      </c>
      <c r="P3" s="11" t="s">
        <v>82</v>
      </c>
      <c r="Q3" s="11" t="s">
        <v>82</v>
      </c>
      <c r="R3" s="11" t="s">
        <v>391</v>
      </c>
      <c r="S3" s="11" t="s">
        <v>209</v>
      </c>
      <c r="T3" s="11" t="s">
        <v>89</v>
      </c>
      <c r="U3" s="11" t="s">
        <v>90</v>
      </c>
      <c r="V3" s="11" t="s">
        <v>673</v>
      </c>
      <c r="W3" s="11" t="s">
        <v>82</v>
      </c>
      <c r="X3" s="12">
        <v>1</v>
      </c>
      <c r="Y3" s="12">
        <v>0</v>
      </c>
      <c r="Z3" s="24">
        <v>20</v>
      </c>
      <c r="AA3" t="s">
        <v>714</v>
      </c>
      <c r="AB3" t="s">
        <v>92</v>
      </c>
    </row>
    <row r="4" spans="2:28" x14ac:dyDescent="0.25">
      <c r="B4" s="11" t="s">
        <v>114</v>
      </c>
      <c r="C4" s="11" t="s">
        <v>715</v>
      </c>
      <c r="D4" s="11" t="s">
        <v>716</v>
      </c>
      <c r="E4" s="12">
        <v>3</v>
      </c>
      <c r="F4" s="23">
        <v>427000</v>
      </c>
      <c r="G4" s="11">
        <v>5.5</v>
      </c>
      <c r="H4" s="23">
        <f t="shared" si="0"/>
        <v>2348500</v>
      </c>
      <c r="J4" s="24">
        <v>427</v>
      </c>
      <c r="K4" s="12">
        <v>1.2046746901274592</v>
      </c>
      <c r="L4" s="11" t="s">
        <v>672</v>
      </c>
      <c r="M4" s="11" t="s">
        <v>84</v>
      </c>
      <c r="N4" s="12">
        <v>0.1</v>
      </c>
      <c r="O4" s="12">
        <v>2</v>
      </c>
      <c r="P4" s="11" t="s">
        <v>82</v>
      </c>
      <c r="Q4" s="11" t="s">
        <v>82</v>
      </c>
      <c r="R4" s="11" t="s">
        <v>391</v>
      </c>
      <c r="S4" s="11" t="s">
        <v>209</v>
      </c>
      <c r="T4" s="11" t="s">
        <v>89</v>
      </c>
      <c r="U4" s="11" t="s">
        <v>90</v>
      </c>
      <c r="V4" s="11" t="s">
        <v>673</v>
      </c>
      <c r="W4" s="11" t="s">
        <v>82</v>
      </c>
      <c r="X4" s="12">
        <v>1</v>
      </c>
      <c r="Y4" s="12">
        <v>0</v>
      </c>
      <c r="Z4" s="24">
        <v>20</v>
      </c>
      <c r="AA4" t="s">
        <v>717</v>
      </c>
      <c r="AB4" t="s">
        <v>92</v>
      </c>
    </row>
    <row r="5" spans="2:28" x14ac:dyDescent="0.25">
      <c r="B5" s="11" t="s">
        <v>125</v>
      </c>
      <c r="C5" s="11" t="s">
        <v>718</v>
      </c>
      <c r="D5" s="11" t="s">
        <v>719</v>
      </c>
      <c r="E5" s="12">
        <v>3</v>
      </c>
      <c r="F5" s="23">
        <v>348000</v>
      </c>
      <c r="G5" s="11">
        <v>6.7</v>
      </c>
      <c r="H5" s="23">
        <f t="shared" si="0"/>
        <v>2331600</v>
      </c>
      <c r="I5" s="23">
        <f>AVERAGE(H5:H7)</f>
        <v>2295866.6666666665</v>
      </c>
      <c r="J5" s="24">
        <v>348</v>
      </c>
      <c r="K5" s="12">
        <v>1.2808742283441688</v>
      </c>
      <c r="L5" s="11" t="s">
        <v>672</v>
      </c>
      <c r="M5" s="11" t="s">
        <v>84</v>
      </c>
      <c r="N5" s="12">
        <v>0.1</v>
      </c>
      <c r="O5" s="12">
        <v>2</v>
      </c>
      <c r="P5" s="11" t="s">
        <v>82</v>
      </c>
      <c r="Q5" s="11" t="s">
        <v>82</v>
      </c>
      <c r="R5" s="11" t="s">
        <v>391</v>
      </c>
      <c r="S5" s="11" t="s">
        <v>209</v>
      </c>
      <c r="T5" s="11" t="s">
        <v>89</v>
      </c>
      <c r="U5" s="11" t="s">
        <v>90</v>
      </c>
      <c r="V5" s="11" t="s">
        <v>673</v>
      </c>
      <c r="W5" s="11" t="s">
        <v>82</v>
      </c>
      <c r="X5" s="12">
        <v>1</v>
      </c>
      <c r="Y5" s="12">
        <v>0</v>
      </c>
      <c r="Z5" s="24">
        <v>20</v>
      </c>
      <c r="AA5" t="s">
        <v>720</v>
      </c>
      <c r="AB5" t="s">
        <v>92</v>
      </c>
    </row>
    <row r="6" spans="2:28" x14ac:dyDescent="0.25">
      <c r="B6" s="11" t="s">
        <v>136</v>
      </c>
      <c r="C6" s="11" t="s">
        <v>721</v>
      </c>
      <c r="D6" s="11" t="s">
        <v>722</v>
      </c>
      <c r="E6" s="12">
        <v>3</v>
      </c>
      <c r="F6" s="23">
        <v>373000</v>
      </c>
      <c r="G6" s="11">
        <v>6.7</v>
      </c>
      <c r="H6" s="23">
        <f t="shared" si="0"/>
        <v>2499100</v>
      </c>
      <c r="J6" s="24">
        <v>373</v>
      </c>
      <c r="K6" s="12">
        <v>1.1256651141602296</v>
      </c>
      <c r="L6" s="11" t="s">
        <v>672</v>
      </c>
      <c r="M6" s="11" t="s">
        <v>84</v>
      </c>
      <c r="N6" s="12">
        <v>0.1</v>
      </c>
      <c r="O6" s="12">
        <v>2</v>
      </c>
      <c r="P6" s="11" t="s">
        <v>82</v>
      </c>
      <c r="Q6" s="11" t="s">
        <v>82</v>
      </c>
      <c r="R6" s="11" t="s">
        <v>391</v>
      </c>
      <c r="S6" s="11" t="s">
        <v>209</v>
      </c>
      <c r="T6" s="11" t="s">
        <v>89</v>
      </c>
      <c r="U6" s="11" t="s">
        <v>90</v>
      </c>
      <c r="V6" s="11" t="s">
        <v>673</v>
      </c>
      <c r="W6" s="11" t="s">
        <v>82</v>
      </c>
      <c r="X6" s="12">
        <v>1</v>
      </c>
      <c r="Y6" s="12">
        <v>0</v>
      </c>
      <c r="Z6" s="24">
        <v>20</v>
      </c>
      <c r="AA6" t="s">
        <v>723</v>
      </c>
      <c r="AB6" t="s">
        <v>92</v>
      </c>
    </row>
    <row r="7" spans="2:28" x14ac:dyDescent="0.25">
      <c r="B7" s="11" t="s">
        <v>147</v>
      </c>
      <c r="C7" s="11" t="s">
        <v>724</v>
      </c>
      <c r="D7" s="11" t="s">
        <v>725</v>
      </c>
      <c r="E7" s="12">
        <v>3</v>
      </c>
      <c r="F7" s="23">
        <v>307000</v>
      </c>
      <c r="G7" s="11">
        <v>6.7</v>
      </c>
      <c r="H7" s="23">
        <f t="shared" si="0"/>
        <v>2056900</v>
      </c>
      <c r="J7" s="24">
        <v>307</v>
      </c>
      <c r="K7" s="12">
        <v>1.2768740711418707</v>
      </c>
      <c r="L7" s="11" t="s">
        <v>672</v>
      </c>
      <c r="M7" s="11" t="s">
        <v>84</v>
      </c>
      <c r="N7" s="12">
        <v>0.1</v>
      </c>
      <c r="O7" s="12">
        <v>2</v>
      </c>
      <c r="P7" s="11" t="s">
        <v>82</v>
      </c>
      <c r="Q7" s="11" t="s">
        <v>82</v>
      </c>
      <c r="R7" s="11" t="s">
        <v>391</v>
      </c>
      <c r="S7" s="11" t="s">
        <v>209</v>
      </c>
      <c r="T7" s="11" t="s">
        <v>89</v>
      </c>
      <c r="U7" s="11" t="s">
        <v>90</v>
      </c>
      <c r="V7" s="11" t="s">
        <v>673</v>
      </c>
      <c r="W7" s="11" t="s">
        <v>82</v>
      </c>
      <c r="X7" s="12">
        <v>1</v>
      </c>
      <c r="Y7" s="12">
        <v>0</v>
      </c>
      <c r="Z7" s="24">
        <v>20</v>
      </c>
      <c r="AA7" t="s">
        <v>726</v>
      </c>
      <c r="AB7" t="s">
        <v>92</v>
      </c>
    </row>
    <row r="8" spans="2:28" x14ac:dyDescent="0.25">
      <c r="B8" s="11" t="s">
        <v>158</v>
      </c>
      <c r="C8" s="11" t="s">
        <v>727</v>
      </c>
      <c r="D8" s="11" t="s">
        <v>81</v>
      </c>
      <c r="E8" s="12">
        <v>4</v>
      </c>
      <c r="F8" s="23">
        <v>2330000</v>
      </c>
      <c r="G8" s="11">
        <v>5.3</v>
      </c>
      <c r="H8" s="23">
        <f t="shared" si="0"/>
        <v>12349000</v>
      </c>
      <c r="I8" s="23">
        <f>AVERAGE(H8:H10)</f>
        <v>8268000</v>
      </c>
      <c r="J8" s="24">
        <v>233</v>
      </c>
      <c r="K8" s="12">
        <v>0.46460853466108104</v>
      </c>
      <c r="L8" s="11" t="s">
        <v>672</v>
      </c>
      <c r="M8" s="11" t="s">
        <v>84</v>
      </c>
      <c r="N8" s="12">
        <v>0.1</v>
      </c>
      <c r="O8" s="12">
        <v>2</v>
      </c>
      <c r="P8" s="11" t="s">
        <v>82</v>
      </c>
      <c r="Q8" s="11" t="s">
        <v>82</v>
      </c>
      <c r="R8" s="11" t="s">
        <v>391</v>
      </c>
      <c r="S8" s="11" t="s">
        <v>209</v>
      </c>
      <c r="T8" s="11" t="s">
        <v>89</v>
      </c>
      <c r="U8" s="11" t="s">
        <v>90</v>
      </c>
      <c r="V8" s="11" t="s">
        <v>673</v>
      </c>
      <c r="W8" s="11" t="s">
        <v>82</v>
      </c>
      <c r="X8" s="12">
        <v>1</v>
      </c>
      <c r="Y8" s="12">
        <v>0</v>
      </c>
      <c r="Z8" s="24">
        <v>20</v>
      </c>
      <c r="AA8" t="s">
        <v>728</v>
      </c>
      <c r="AB8" t="s">
        <v>92</v>
      </c>
    </row>
    <row r="9" spans="2:28" x14ac:dyDescent="0.25">
      <c r="B9" s="11" t="s">
        <v>169</v>
      </c>
      <c r="C9" s="11" t="s">
        <v>729</v>
      </c>
      <c r="D9" s="11" t="s">
        <v>94</v>
      </c>
      <c r="E9" s="12">
        <v>4</v>
      </c>
      <c r="F9" s="23">
        <v>1080000</v>
      </c>
      <c r="G9" s="11">
        <v>5.3</v>
      </c>
      <c r="H9" s="23">
        <f t="shared" si="0"/>
        <v>5724000</v>
      </c>
      <c r="J9" s="24">
        <v>108</v>
      </c>
      <c r="K9" s="12">
        <v>0.60266803478989661</v>
      </c>
      <c r="L9" s="11" t="s">
        <v>672</v>
      </c>
      <c r="M9" s="11" t="s">
        <v>84</v>
      </c>
      <c r="N9" s="12">
        <v>0.1</v>
      </c>
      <c r="O9" s="12">
        <v>2</v>
      </c>
      <c r="P9" s="11" t="s">
        <v>82</v>
      </c>
      <c r="Q9" s="11" t="s">
        <v>82</v>
      </c>
      <c r="R9" s="11" t="s">
        <v>391</v>
      </c>
      <c r="S9" s="11" t="s">
        <v>209</v>
      </c>
      <c r="T9" s="11" t="s">
        <v>89</v>
      </c>
      <c r="U9" s="11" t="s">
        <v>90</v>
      </c>
      <c r="V9" s="11" t="s">
        <v>673</v>
      </c>
      <c r="W9" s="11" t="s">
        <v>82</v>
      </c>
      <c r="X9" s="12">
        <v>1</v>
      </c>
      <c r="Y9" s="12">
        <v>0</v>
      </c>
      <c r="Z9" s="24">
        <v>20</v>
      </c>
      <c r="AA9" t="s">
        <v>730</v>
      </c>
      <c r="AB9" t="s">
        <v>92</v>
      </c>
    </row>
    <row r="10" spans="2:28" x14ac:dyDescent="0.25">
      <c r="B10" s="11" t="s">
        <v>180</v>
      </c>
      <c r="C10" s="11" t="s">
        <v>731</v>
      </c>
      <c r="D10" s="11" t="s">
        <v>97</v>
      </c>
      <c r="E10" s="12">
        <v>4</v>
      </c>
      <c r="F10" s="23">
        <v>1270000</v>
      </c>
      <c r="G10" s="11">
        <v>5.3</v>
      </c>
      <c r="H10" s="23">
        <f t="shared" si="0"/>
        <v>6731000</v>
      </c>
      <c r="J10" s="24">
        <v>127</v>
      </c>
      <c r="K10" s="12">
        <v>0.61481452455713892</v>
      </c>
      <c r="L10" s="11" t="s">
        <v>672</v>
      </c>
      <c r="M10" s="11" t="s">
        <v>84</v>
      </c>
      <c r="N10" s="12">
        <v>0.1</v>
      </c>
      <c r="O10" s="12">
        <v>2</v>
      </c>
      <c r="P10" s="11" t="s">
        <v>82</v>
      </c>
      <c r="Q10" s="11" t="s">
        <v>82</v>
      </c>
      <c r="R10" s="11" t="s">
        <v>391</v>
      </c>
      <c r="S10" s="11" t="s">
        <v>209</v>
      </c>
      <c r="T10" s="11" t="s">
        <v>89</v>
      </c>
      <c r="U10" s="11" t="s">
        <v>90</v>
      </c>
      <c r="V10" s="11" t="s">
        <v>673</v>
      </c>
      <c r="W10" s="11" t="s">
        <v>82</v>
      </c>
      <c r="X10" s="12">
        <v>1</v>
      </c>
      <c r="Y10" s="12">
        <v>0</v>
      </c>
      <c r="Z10" s="24">
        <v>20</v>
      </c>
      <c r="AA10" t="s">
        <v>732</v>
      </c>
      <c r="AB10" t="s">
        <v>92</v>
      </c>
    </row>
    <row r="14" spans="2:28" x14ac:dyDescent="0.25">
      <c r="H14" s="63" t="s">
        <v>471</v>
      </c>
      <c r="I14" s="23">
        <f>AVERAGE(I2:I5, I27)</f>
        <v>5181011.111111111</v>
      </c>
      <c r="K14" s="12" t="s">
        <v>472</v>
      </c>
      <c r="L14" s="11">
        <f>SQRT((I14/3)+(G22/5))</f>
        <v>1314.1729618675404</v>
      </c>
    </row>
    <row r="15" spans="2:28" x14ac:dyDescent="0.25">
      <c r="H15" s="63" t="s">
        <v>473</v>
      </c>
      <c r="I15" s="23">
        <f>STDEV(I2:I5, I27)</f>
        <v>5046979.2638031766</v>
      </c>
    </row>
    <row r="16" spans="2:28" x14ac:dyDescent="0.25">
      <c r="D16" s="11" t="s">
        <v>733</v>
      </c>
      <c r="E16" s="12" t="s">
        <v>284</v>
      </c>
      <c r="F16" s="23" t="s">
        <v>734</v>
      </c>
      <c r="G16" s="11" t="s">
        <v>686</v>
      </c>
    </row>
    <row r="17" spans="2:26" x14ac:dyDescent="0.25">
      <c r="C17" s="11" t="s">
        <v>735</v>
      </c>
      <c r="D17" s="11" t="s">
        <v>700</v>
      </c>
      <c r="E17" s="11">
        <v>47</v>
      </c>
      <c r="F17" s="11">
        <v>4.4000000000000004</v>
      </c>
      <c r="G17" s="11">
        <f>(4.4/2)*E17</f>
        <v>103.4</v>
      </c>
    </row>
    <row r="18" spans="2:26" x14ac:dyDescent="0.25">
      <c r="C18" s="11" t="s">
        <v>736</v>
      </c>
      <c r="D18" s="11" t="s">
        <v>702</v>
      </c>
      <c r="E18" s="11">
        <v>39</v>
      </c>
      <c r="F18" s="11">
        <v>4.4000000000000004</v>
      </c>
      <c r="G18" s="11">
        <f>(4.4/2)*E18</f>
        <v>85.800000000000011</v>
      </c>
    </row>
    <row r="19" spans="2:26" x14ac:dyDescent="0.25">
      <c r="C19" s="11" t="s">
        <v>737</v>
      </c>
      <c r="D19" s="11" t="s">
        <v>704</v>
      </c>
      <c r="E19" s="11"/>
      <c r="F19" s="11"/>
    </row>
    <row r="20" spans="2:26" x14ac:dyDescent="0.25">
      <c r="C20" s="11" t="s">
        <v>738</v>
      </c>
      <c r="D20" s="11" t="s">
        <v>705</v>
      </c>
      <c r="E20" s="11">
        <v>26</v>
      </c>
      <c r="F20" s="11">
        <v>5</v>
      </c>
      <c r="G20" s="11">
        <f>(5/2)*E20</f>
        <v>65</v>
      </c>
    </row>
    <row r="21" spans="2:26" x14ac:dyDescent="0.25">
      <c r="C21" s="11" t="s">
        <v>739</v>
      </c>
      <c r="D21" s="11" t="s">
        <v>528</v>
      </c>
      <c r="E21" s="11">
        <v>61</v>
      </c>
      <c r="F21" s="11">
        <v>5.6</v>
      </c>
      <c r="G21" s="11">
        <f>(5.6/0.5)*E21</f>
        <v>683.19999999999993</v>
      </c>
    </row>
    <row r="22" spans="2:26" x14ac:dyDescent="0.25">
      <c r="F22" s="64" t="s">
        <v>740</v>
      </c>
      <c r="G22" s="23">
        <f>AVERAGE(G17:G21)</f>
        <v>234.35</v>
      </c>
    </row>
    <row r="23" spans="2:26" x14ac:dyDescent="0.25">
      <c r="F23" s="64" t="s">
        <v>707</v>
      </c>
      <c r="G23" s="23">
        <f>STDEV(G17:G21)</f>
        <v>299.6446506558504</v>
      </c>
      <c r="I23" s="11" t="s">
        <v>741</v>
      </c>
    </row>
    <row r="24" spans="2:26" x14ac:dyDescent="0.25">
      <c r="I24" s="23">
        <f>I14-G22</f>
        <v>5180776.7611111114</v>
      </c>
      <c r="J24" s="24">
        <f>(G22/I14)*100</f>
        <v>4.5232483577851597E-3</v>
      </c>
    </row>
    <row r="26" spans="2:26" x14ac:dyDescent="0.25">
      <c r="B26" s="11" t="s">
        <v>742</v>
      </c>
    </row>
    <row r="27" spans="2:26" x14ac:dyDescent="0.25">
      <c r="B27" s="11" t="s">
        <v>462</v>
      </c>
      <c r="C27" s="11" t="s">
        <v>584</v>
      </c>
      <c r="D27" s="11" t="s">
        <v>585</v>
      </c>
      <c r="E27" s="12">
        <v>2</v>
      </c>
      <c r="F27" s="23">
        <v>1270000</v>
      </c>
      <c r="G27" s="11">
        <v>4.9000000000000004</v>
      </c>
      <c r="H27" s="23">
        <f>F27*G27</f>
        <v>6223000</v>
      </c>
      <c r="I27" s="23">
        <f>AVERAGE(H27:H29)</f>
        <v>11008666.666666666</v>
      </c>
      <c r="J27" s="24">
        <v>51</v>
      </c>
      <c r="K27" s="12">
        <v>1.2714208185264573</v>
      </c>
      <c r="L27" s="11" t="s">
        <v>83</v>
      </c>
      <c r="M27" s="11" t="s">
        <v>84</v>
      </c>
      <c r="N27" s="12">
        <v>0.1</v>
      </c>
      <c r="O27" s="12">
        <v>2</v>
      </c>
      <c r="P27" s="11" t="s">
        <v>85</v>
      </c>
      <c r="Q27" s="11" t="s">
        <v>86</v>
      </c>
      <c r="R27" s="11" t="s">
        <v>391</v>
      </c>
      <c r="S27" s="11" t="s">
        <v>88</v>
      </c>
      <c r="T27" s="11" t="s">
        <v>89</v>
      </c>
      <c r="U27" s="11" t="s">
        <v>90</v>
      </c>
      <c r="V27" s="11" t="s">
        <v>83</v>
      </c>
      <c r="W27" s="11" t="s">
        <v>82</v>
      </c>
      <c r="X27" s="12">
        <v>0</v>
      </c>
      <c r="Y27" s="12">
        <v>0</v>
      </c>
      <c r="Z27" s="24">
        <v>20</v>
      </c>
    </row>
    <row r="28" spans="2:26" x14ac:dyDescent="0.25">
      <c r="B28" s="11" t="s">
        <v>466</v>
      </c>
      <c r="C28" s="11" t="s">
        <v>587</v>
      </c>
      <c r="D28" s="11" t="s">
        <v>588</v>
      </c>
      <c r="E28" s="12">
        <v>2</v>
      </c>
      <c r="F28" s="23">
        <v>2440000</v>
      </c>
      <c r="G28" s="11">
        <v>4.9000000000000004</v>
      </c>
      <c r="H28" s="23">
        <f>F28*G28</f>
        <v>11956000</v>
      </c>
      <c r="J28" s="24">
        <v>98</v>
      </c>
      <c r="K28" s="12">
        <v>1.122467095410119</v>
      </c>
      <c r="L28" s="11" t="s">
        <v>83</v>
      </c>
      <c r="M28" s="11" t="s">
        <v>84</v>
      </c>
      <c r="N28" s="12">
        <v>0.1</v>
      </c>
      <c r="O28" s="12">
        <v>2</v>
      </c>
      <c r="P28" s="11" t="s">
        <v>85</v>
      </c>
      <c r="Q28" s="11" t="s">
        <v>86</v>
      </c>
      <c r="R28" s="11" t="s">
        <v>391</v>
      </c>
      <c r="S28" s="11" t="s">
        <v>88</v>
      </c>
      <c r="T28" s="11" t="s">
        <v>89</v>
      </c>
      <c r="U28" s="11" t="s">
        <v>90</v>
      </c>
      <c r="V28" s="11" t="s">
        <v>83</v>
      </c>
      <c r="W28" s="11" t="s">
        <v>82</v>
      </c>
      <c r="X28" s="12">
        <v>0</v>
      </c>
      <c r="Y28" s="12">
        <v>0</v>
      </c>
      <c r="Z28" s="24">
        <v>20</v>
      </c>
    </row>
    <row r="29" spans="2:26" x14ac:dyDescent="0.25">
      <c r="B29" s="11" t="s">
        <v>590</v>
      </c>
      <c r="C29" s="11" t="s">
        <v>591</v>
      </c>
      <c r="D29" s="11" t="s">
        <v>592</v>
      </c>
      <c r="E29" s="12">
        <v>2</v>
      </c>
      <c r="F29" s="23">
        <v>3030000</v>
      </c>
      <c r="G29" s="11">
        <v>4.9000000000000004</v>
      </c>
      <c r="H29" s="23">
        <f>F29*G29</f>
        <v>14847000.000000002</v>
      </c>
      <c r="J29" s="24">
        <v>122</v>
      </c>
      <c r="K29" s="12">
        <v>0.72564269739493148</v>
      </c>
      <c r="L29" s="11" t="s">
        <v>83</v>
      </c>
      <c r="M29" s="11" t="s">
        <v>84</v>
      </c>
      <c r="N29" s="12">
        <v>0.1</v>
      </c>
      <c r="O29" s="12">
        <v>2</v>
      </c>
      <c r="P29" s="11" t="s">
        <v>85</v>
      </c>
      <c r="Q29" s="11" t="s">
        <v>86</v>
      </c>
      <c r="R29" s="11" t="s">
        <v>391</v>
      </c>
      <c r="S29" s="11" t="s">
        <v>88</v>
      </c>
      <c r="T29" s="11" t="s">
        <v>89</v>
      </c>
      <c r="U29" s="11" t="s">
        <v>90</v>
      </c>
      <c r="V29" s="11" t="s">
        <v>83</v>
      </c>
      <c r="W29" s="11" t="s">
        <v>82</v>
      </c>
      <c r="X29" s="12">
        <v>0</v>
      </c>
      <c r="Y29" s="12">
        <v>0</v>
      </c>
      <c r="Z29" s="24">
        <v>20</v>
      </c>
    </row>
    <row r="42" spans="1:17" x14ac:dyDescent="0.25">
      <c r="A42" t="s">
        <v>761</v>
      </c>
      <c r="D42" s="11" t="s">
        <v>765</v>
      </c>
      <c r="F42" s="23" t="s">
        <v>763</v>
      </c>
      <c r="P42" s="11" t="s">
        <v>797</v>
      </c>
    </row>
    <row r="43" spans="1:17" ht="38.25" x14ac:dyDescent="0.25">
      <c r="A43" s="5" t="s">
        <v>42</v>
      </c>
      <c r="B43" s="6" t="s">
        <v>43</v>
      </c>
      <c r="C43" s="7" t="s">
        <v>44</v>
      </c>
      <c r="D43" s="7" t="s">
        <v>45</v>
      </c>
      <c r="E43" s="8" t="s">
        <v>46</v>
      </c>
      <c r="F43" s="9" t="s">
        <v>47</v>
      </c>
      <c r="G43" s="10" t="s">
        <v>48</v>
      </c>
      <c r="H43" s="10" t="s">
        <v>781</v>
      </c>
      <c r="J43" s="11"/>
      <c r="K43" s="12" t="s">
        <v>774</v>
      </c>
      <c r="M43" s="11" t="s">
        <v>773</v>
      </c>
      <c r="N43" s="12" t="s">
        <v>472</v>
      </c>
      <c r="P43" s="106" t="s">
        <v>798</v>
      </c>
      <c r="Q43" s="11" t="s">
        <v>472</v>
      </c>
    </row>
    <row r="44" spans="1:17" ht="38.25" x14ac:dyDescent="0.25">
      <c r="A44" s="13" t="s">
        <v>746</v>
      </c>
      <c r="B44" s="14">
        <v>1</v>
      </c>
      <c r="C44" s="15"/>
      <c r="D44" s="16"/>
      <c r="E44" s="17"/>
      <c r="F44" s="15">
        <f>I8</f>
        <v>8268000</v>
      </c>
      <c r="G44" s="149" t="s">
        <v>51</v>
      </c>
      <c r="H44" s="150"/>
      <c r="J44" s="11"/>
      <c r="K44" s="12">
        <f>LOG(F44)</f>
        <v>6.9174004679552503</v>
      </c>
      <c r="M44" s="12">
        <f>(LOG(GEOMEAN(F45:F47)))-(LOG(GEOMEAN(F48:F52)))</f>
        <v>4.8651190195485983</v>
      </c>
      <c r="N44" s="90">
        <f>SQRT(VAR(K45:K47)/3+(VAR(K48:K52)/5))</f>
        <v>0.51905672064566721</v>
      </c>
      <c r="P44" s="12">
        <f>AVERAGE(K45:K47)</f>
        <v>6.5842128277346852</v>
      </c>
      <c r="Q44" s="12">
        <f>SQRT(VAR(K45:K47)/3)</f>
        <v>0.22878294321688544</v>
      </c>
    </row>
    <row r="45" spans="1:17" x14ac:dyDescent="0.25">
      <c r="A45" s="148" t="s">
        <v>748</v>
      </c>
      <c r="B45" s="14">
        <v>1</v>
      </c>
      <c r="C45" s="15"/>
      <c r="D45" s="16"/>
      <c r="E45" s="17"/>
      <c r="F45" s="15">
        <f>I2</f>
        <v>2238500</v>
      </c>
      <c r="G45" s="151">
        <f>AVERAGE(F45:F47)</f>
        <v>5181011.111111111</v>
      </c>
      <c r="H45" s="170">
        <f>STDEV(F45:F47)</f>
        <v>5046979.2638031766</v>
      </c>
      <c r="J45" s="11"/>
      <c r="K45" s="12">
        <f t="shared" ref="K45:K52" si="1">LOG(F45)</f>
        <v>6.3499570987194636</v>
      </c>
    </row>
    <row r="46" spans="1:17" x14ac:dyDescent="0.25">
      <c r="A46" s="148"/>
      <c r="B46" s="14">
        <v>2</v>
      </c>
      <c r="C46" s="15"/>
      <c r="D46" s="16"/>
      <c r="E46" s="17"/>
      <c r="F46" s="15">
        <f>I5</f>
        <v>2295866.6666666665</v>
      </c>
      <c r="G46" s="152"/>
      <c r="H46" s="171"/>
      <c r="I46" s="21">
        <f>G45/F44</f>
        <v>0.6266341450303714</v>
      </c>
      <c r="J46" s="22" t="s">
        <v>52</v>
      </c>
      <c r="K46" s="12">
        <f t="shared" si="1"/>
        <v>6.360946662640421</v>
      </c>
    </row>
    <row r="47" spans="1:17" x14ac:dyDescent="0.25">
      <c r="A47" s="148"/>
      <c r="B47" s="14">
        <v>3</v>
      </c>
      <c r="C47" s="15"/>
      <c r="D47" s="16"/>
      <c r="E47" s="17"/>
      <c r="F47" s="15">
        <f>I27</f>
        <v>11008666.666666666</v>
      </c>
      <c r="G47" s="152"/>
      <c r="H47" s="171"/>
      <c r="I47" s="18"/>
      <c r="J47" s="20"/>
      <c r="K47" s="12">
        <f t="shared" si="1"/>
        <v>7.041734721844171</v>
      </c>
    </row>
    <row r="48" spans="1:17" x14ac:dyDescent="0.25">
      <c r="A48" s="148" t="s">
        <v>749</v>
      </c>
      <c r="B48" s="14">
        <v>1</v>
      </c>
      <c r="C48" s="65"/>
      <c r="D48" s="17"/>
      <c r="E48" s="15"/>
      <c r="F48" s="65">
        <f>G17</f>
        <v>103.4</v>
      </c>
      <c r="G48" s="145">
        <f>AVERAGE(F48:F52)</f>
        <v>187.68</v>
      </c>
      <c r="H48" s="147">
        <f>STDEV(F48:F52)</f>
        <v>279.69739362389487</v>
      </c>
      <c r="J48" s="11"/>
      <c r="K48" s="12">
        <f t="shared" si="1"/>
        <v>2.0145205387579237</v>
      </c>
    </row>
    <row r="49" spans="1:11" x14ac:dyDescent="0.25">
      <c r="A49" s="148"/>
      <c r="B49" s="14">
        <v>2</v>
      </c>
      <c r="C49" s="65"/>
      <c r="D49" s="17"/>
      <c r="E49" s="15"/>
      <c r="F49" s="65">
        <f t="shared" ref="F49:F52" si="2">G18</f>
        <v>85.800000000000011</v>
      </c>
      <c r="G49" s="146"/>
      <c r="H49" s="146"/>
      <c r="J49" s="11"/>
      <c r="K49" s="12">
        <f t="shared" si="1"/>
        <v>1.9334872878487055</v>
      </c>
    </row>
    <row r="50" spans="1:11" x14ac:dyDescent="0.25">
      <c r="A50" s="148"/>
      <c r="B50" s="14">
        <v>3</v>
      </c>
      <c r="C50" s="65"/>
      <c r="D50" s="17"/>
      <c r="E50" s="15"/>
      <c r="F50" s="65">
        <v>1</v>
      </c>
      <c r="G50" s="146"/>
      <c r="H50" s="146"/>
      <c r="J50" s="11"/>
      <c r="K50" s="12">
        <f t="shared" si="1"/>
        <v>0</v>
      </c>
    </row>
    <row r="51" spans="1:11" x14ac:dyDescent="0.25">
      <c r="A51" s="148"/>
      <c r="B51" s="14">
        <v>4</v>
      </c>
      <c r="C51" s="65"/>
      <c r="D51" s="17"/>
      <c r="E51" s="15"/>
      <c r="F51" s="65">
        <f t="shared" si="2"/>
        <v>65</v>
      </c>
      <c r="G51" s="146"/>
      <c r="H51" s="146"/>
      <c r="J51" s="11"/>
      <c r="K51" s="12">
        <f t="shared" si="1"/>
        <v>1.8129133566428555</v>
      </c>
    </row>
    <row r="52" spans="1:11" x14ac:dyDescent="0.25">
      <c r="A52" s="148"/>
      <c r="B52" s="14">
        <v>5</v>
      </c>
      <c r="C52" s="65"/>
      <c r="D52" s="17"/>
      <c r="E52" s="15"/>
      <c r="F52" s="65">
        <f t="shared" si="2"/>
        <v>683.19999999999993</v>
      </c>
      <c r="G52" s="123"/>
      <c r="H52" s="123"/>
      <c r="J52" s="11"/>
      <c r="K52" s="12">
        <f t="shared" si="1"/>
        <v>2.8345478576809486</v>
      </c>
    </row>
    <row r="54" spans="1:11" x14ac:dyDescent="0.25">
      <c r="G54" s="23"/>
      <c r="K54" s="24" t="s">
        <v>778</v>
      </c>
    </row>
    <row r="55" spans="1:11" x14ac:dyDescent="0.25">
      <c r="F55" s="24" t="s">
        <v>775</v>
      </c>
      <c r="G55" s="23"/>
    </row>
    <row r="56" spans="1:11" x14ac:dyDescent="0.25">
      <c r="F56" s="23" t="s">
        <v>776</v>
      </c>
      <c r="G56" s="12"/>
    </row>
    <row r="57" spans="1:11" x14ac:dyDescent="0.25">
      <c r="F57" s="23" t="s">
        <v>777</v>
      </c>
      <c r="G57" s="23"/>
    </row>
    <row r="58" spans="1:11" x14ac:dyDescent="0.25">
      <c r="B58" s="11" t="s">
        <v>808</v>
      </c>
      <c r="C58" s="11" t="s">
        <v>810</v>
      </c>
      <c r="D58" s="12" t="s">
        <v>809</v>
      </c>
      <c r="G58" s="23"/>
    </row>
    <row r="59" spans="1:11" x14ac:dyDescent="0.25">
      <c r="A59" t="s">
        <v>799</v>
      </c>
      <c r="B59" s="11">
        <f>LOG(F45)</f>
        <v>6.3499570987194636</v>
      </c>
      <c r="C59" s="12">
        <f>AVERAGE(B59:B61)</f>
        <v>6.5842128277346852</v>
      </c>
      <c r="D59" s="12">
        <f>STDEV(B59:B61)</f>
        <v>0.39626368155679104</v>
      </c>
    </row>
    <row r="60" spans="1:11" x14ac:dyDescent="0.25">
      <c r="B60" s="11">
        <f t="shared" ref="B60:B66" si="3">LOG(F46)</f>
        <v>6.360946662640421</v>
      </c>
      <c r="D60" s="12"/>
    </row>
    <row r="61" spans="1:11" x14ac:dyDescent="0.25">
      <c r="B61" s="11">
        <f t="shared" si="3"/>
        <v>7.041734721844171</v>
      </c>
      <c r="D61" s="12"/>
    </row>
    <row r="62" spans="1:11" x14ac:dyDescent="0.25">
      <c r="A62" t="s">
        <v>807</v>
      </c>
      <c r="B62" s="11">
        <f t="shared" si="3"/>
        <v>2.0145205387579237</v>
      </c>
      <c r="C62" s="11">
        <f>AVERAGE(B62:B66)</f>
        <v>1.7190938081860867</v>
      </c>
      <c r="D62" s="12">
        <f>STDEV(B62:B66)</f>
        <v>1.0418211078214281</v>
      </c>
    </row>
    <row r="63" spans="1:11" x14ac:dyDescent="0.25">
      <c r="B63" s="11">
        <f t="shared" si="3"/>
        <v>1.9334872878487055</v>
      </c>
      <c r="D63" s="12"/>
    </row>
    <row r="64" spans="1:11" x14ac:dyDescent="0.25">
      <c r="B64" s="11">
        <f t="shared" si="3"/>
        <v>0</v>
      </c>
      <c r="D64" s="12"/>
    </row>
    <row r="65" spans="2:4" x14ac:dyDescent="0.25">
      <c r="B65" s="11">
        <f t="shared" si="3"/>
        <v>1.8129133566428555</v>
      </c>
      <c r="D65" s="12"/>
    </row>
    <row r="66" spans="2:4" x14ac:dyDescent="0.25">
      <c r="B66" s="11">
        <f t="shared" si="3"/>
        <v>2.8345478576809486</v>
      </c>
      <c r="D66" s="12"/>
    </row>
  </sheetData>
  <mergeCells count="7">
    <mergeCell ref="G44:H44"/>
    <mergeCell ref="A45:A47"/>
    <mergeCell ref="G45:G47"/>
    <mergeCell ref="H45:H47"/>
    <mergeCell ref="A48:A52"/>
    <mergeCell ref="G48:G52"/>
    <mergeCell ref="H48:H5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6"/>
  <sheetViews>
    <sheetView topLeftCell="A50" workbookViewId="0">
      <selection activeCell="B72" sqref="B72:B76"/>
    </sheetView>
  </sheetViews>
  <sheetFormatPr defaultRowHeight="15" x14ac:dyDescent="0.25"/>
  <cols>
    <col min="2" max="2" width="9.140625" style="11"/>
    <col min="3" max="3" width="13.42578125" style="11" bestFit="1" customWidth="1"/>
    <col min="4" max="4" width="9.140625" style="11"/>
    <col min="5" max="5" width="11.5703125" style="12" bestFit="1" customWidth="1"/>
    <col min="6" max="7" width="9.140625" style="23"/>
    <col min="8" max="8" width="11.85546875" style="11" customWidth="1"/>
    <col min="9" max="9" width="14" style="11" bestFit="1" customWidth="1"/>
    <col min="10" max="10" width="9.140625" style="24"/>
    <col min="11" max="11" width="12.5703125" style="12" customWidth="1"/>
    <col min="12" max="13" width="9.140625" style="11"/>
    <col min="14" max="15" width="9.140625" style="12"/>
    <col min="16" max="16" width="9.140625" style="11"/>
    <col min="17" max="17" width="13.28515625" style="11" customWidth="1"/>
    <col min="18" max="23" width="9.140625" style="11"/>
    <col min="24" max="25" width="9.140625" style="12"/>
    <col min="26" max="26" width="9.140625" style="24"/>
    <col min="27" max="27" width="23.140625" customWidth="1"/>
  </cols>
  <sheetData>
    <row r="1" spans="2:28" x14ac:dyDescent="0.25">
      <c r="B1" s="28" t="s">
        <v>56</v>
      </c>
      <c r="C1" s="28" t="s">
        <v>282</v>
      </c>
      <c r="D1" s="28" t="s">
        <v>57</v>
      </c>
      <c r="E1" s="29" t="s">
        <v>58</v>
      </c>
      <c r="F1" s="30" t="s">
        <v>59</v>
      </c>
      <c r="G1" s="30" t="s">
        <v>596</v>
      </c>
      <c r="H1" s="28" t="s">
        <v>47</v>
      </c>
      <c r="I1" s="28" t="s">
        <v>597</v>
      </c>
      <c r="J1" s="31" t="s">
        <v>61</v>
      </c>
      <c r="K1" s="29" t="s">
        <v>62</v>
      </c>
      <c r="L1" s="28" t="s">
        <v>63</v>
      </c>
      <c r="M1" s="28" t="s">
        <v>64</v>
      </c>
      <c r="N1" s="29" t="s">
        <v>65</v>
      </c>
      <c r="O1" s="29" t="s">
        <v>66</v>
      </c>
      <c r="P1" s="28" t="s">
        <v>67</v>
      </c>
      <c r="Q1" s="28" t="s">
        <v>68</v>
      </c>
      <c r="R1" s="28" t="s">
        <v>69</v>
      </c>
      <c r="S1" s="28" t="s">
        <v>70</v>
      </c>
      <c r="T1" s="28" t="s">
        <v>71</v>
      </c>
      <c r="U1" s="28" t="s">
        <v>72</v>
      </c>
      <c r="V1" s="28" t="s">
        <v>73</v>
      </c>
      <c r="W1" s="28" t="s">
        <v>74</v>
      </c>
      <c r="X1" s="29" t="s">
        <v>75</v>
      </c>
      <c r="Y1" s="29" t="s">
        <v>76</v>
      </c>
      <c r="Z1" s="31" t="s">
        <v>77</v>
      </c>
      <c r="AA1" s="32" t="s">
        <v>78</v>
      </c>
      <c r="AB1" s="32" t="s">
        <v>79</v>
      </c>
    </row>
    <row r="2" spans="2:28" s="33" customFormat="1" x14ac:dyDescent="0.25">
      <c r="B2" s="11" t="s">
        <v>80</v>
      </c>
      <c r="C2" s="11" t="s">
        <v>598</v>
      </c>
      <c r="D2" s="11" t="s">
        <v>599</v>
      </c>
      <c r="E2" s="12">
        <v>3</v>
      </c>
      <c r="F2" s="23">
        <v>8160000</v>
      </c>
      <c r="G2" s="11">
        <v>3.8</v>
      </c>
      <c r="H2" s="23">
        <f t="shared" ref="H2:H25" si="0">G2*F2</f>
        <v>31008000</v>
      </c>
      <c r="I2" s="67">
        <f>AVERAGE(H2:H4)</f>
        <v>32984000</v>
      </c>
      <c r="J2" s="24">
        <v>224</v>
      </c>
      <c r="K2" s="12">
        <v>1.249638915532755</v>
      </c>
      <c r="L2" s="11" t="s">
        <v>83</v>
      </c>
      <c r="M2" s="11" t="s">
        <v>84</v>
      </c>
      <c r="N2" s="12">
        <v>0.1</v>
      </c>
      <c r="O2" s="12">
        <v>2</v>
      </c>
      <c r="P2" s="11" t="s">
        <v>85</v>
      </c>
      <c r="Q2" s="11" t="s">
        <v>86</v>
      </c>
      <c r="R2" s="11" t="s">
        <v>87</v>
      </c>
      <c r="S2" s="11" t="s">
        <v>88</v>
      </c>
      <c r="T2" s="11" t="s">
        <v>89</v>
      </c>
      <c r="U2" s="11" t="s">
        <v>90</v>
      </c>
      <c r="V2" s="11" t="s">
        <v>83</v>
      </c>
      <c r="W2" s="11" t="s">
        <v>82</v>
      </c>
      <c r="X2" s="12">
        <v>1</v>
      </c>
      <c r="Y2" s="12">
        <v>0</v>
      </c>
      <c r="Z2" s="24">
        <v>20</v>
      </c>
      <c r="AA2" s="33" t="s">
        <v>600</v>
      </c>
      <c r="AB2" s="33" t="s">
        <v>92</v>
      </c>
    </row>
    <row r="3" spans="2:28" x14ac:dyDescent="0.25">
      <c r="B3" s="11" t="s">
        <v>103</v>
      </c>
      <c r="C3" s="11" t="s">
        <v>601</v>
      </c>
      <c r="D3" s="11" t="s">
        <v>602</v>
      </c>
      <c r="E3" s="12">
        <v>3</v>
      </c>
      <c r="F3" s="23">
        <v>8830000</v>
      </c>
      <c r="G3" s="11">
        <v>3.8</v>
      </c>
      <c r="H3" s="23">
        <f t="shared" si="0"/>
        <v>33554000</v>
      </c>
      <c r="J3" s="24">
        <v>223</v>
      </c>
      <c r="K3" s="12">
        <v>1.2223273933830245</v>
      </c>
      <c r="L3" s="11" t="s">
        <v>83</v>
      </c>
      <c r="M3" s="11" t="s">
        <v>84</v>
      </c>
      <c r="N3" s="12">
        <v>0.1</v>
      </c>
      <c r="O3" s="12">
        <v>2</v>
      </c>
      <c r="P3" s="11" t="s">
        <v>85</v>
      </c>
      <c r="Q3" s="11" t="s">
        <v>86</v>
      </c>
      <c r="R3" s="11" t="s">
        <v>87</v>
      </c>
      <c r="S3" s="11" t="s">
        <v>88</v>
      </c>
      <c r="T3" s="11" t="s">
        <v>89</v>
      </c>
      <c r="U3" s="11" t="s">
        <v>90</v>
      </c>
      <c r="V3" s="11" t="s">
        <v>83</v>
      </c>
      <c r="W3" s="11" t="s">
        <v>82</v>
      </c>
      <c r="X3" s="12">
        <v>1</v>
      </c>
      <c r="Y3" s="12">
        <v>0</v>
      </c>
      <c r="Z3" s="24">
        <v>20</v>
      </c>
      <c r="AA3" t="s">
        <v>603</v>
      </c>
      <c r="AB3" t="s">
        <v>92</v>
      </c>
    </row>
    <row r="4" spans="2:28" x14ac:dyDescent="0.25">
      <c r="B4" s="11" t="s">
        <v>114</v>
      </c>
      <c r="C4" s="11" t="s">
        <v>604</v>
      </c>
      <c r="D4" s="11" t="s">
        <v>605</v>
      </c>
      <c r="E4" s="12">
        <v>3</v>
      </c>
      <c r="F4" s="23">
        <v>9050000</v>
      </c>
      <c r="G4" s="11">
        <v>3.8</v>
      </c>
      <c r="H4" s="23">
        <f t="shared" si="0"/>
        <v>34390000</v>
      </c>
      <c r="J4" s="24">
        <v>222</v>
      </c>
      <c r="K4" s="12">
        <v>1.1838456146714631</v>
      </c>
      <c r="L4" s="11" t="s">
        <v>83</v>
      </c>
      <c r="M4" s="11" t="s">
        <v>84</v>
      </c>
      <c r="N4" s="12">
        <v>0.1</v>
      </c>
      <c r="O4" s="12">
        <v>2</v>
      </c>
      <c r="P4" s="11" t="s">
        <v>85</v>
      </c>
      <c r="Q4" s="11" t="s">
        <v>86</v>
      </c>
      <c r="R4" s="11" t="s">
        <v>87</v>
      </c>
      <c r="S4" s="11" t="s">
        <v>88</v>
      </c>
      <c r="T4" s="11" t="s">
        <v>89</v>
      </c>
      <c r="U4" s="11" t="s">
        <v>90</v>
      </c>
      <c r="V4" s="11" t="s">
        <v>83</v>
      </c>
      <c r="W4" s="11" t="s">
        <v>82</v>
      </c>
      <c r="X4" s="12">
        <v>1</v>
      </c>
      <c r="Y4" s="12">
        <v>0</v>
      </c>
      <c r="Z4" s="24">
        <v>20</v>
      </c>
      <c r="AA4" t="s">
        <v>606</v>
      </c>
      <c r="AB4" t="s">
        <v>92</v>
      </c>
    </row>
    <row r="5" spans="2:28" x14ac:dyDescent="0.25">
      <c r="B5" s="11" t="s">
        <v>125</v>
      </c>
      <c r="C5" s="11" t="s">
        <v>607</v>
      </c>
      <c r="D5" s="11" t="s">
        <v>608</v>
      </c>
      <c r="E5" s="12">
        <v>3</v>
      </c>
      <c r="F5" s="23">
        <v>7190000</v>
      </c>
      <c r="G5" s="11">
        <v>5.4</v>
      </c>
      <c r="H5" s="23">
        <f t="shared" si="0"/>
        <v>38826000</v>
      </c>
      <c r="I5" s="67">
        <f>AVERAGE(H5:H7)</f>
        <v>36198000</v>
      </c>
      <c r="J5" s="24">
        <v>225</v>
      </c>
      <c r="K5" s="12">
        <v>1.2232600020832241</v>
      </c>
      <c r="L5" s="11" t="s">
        <v>83</v>
      </c>
      <c r="M5" s="11" t="s">
        <v>84</v>
      </c>
      <c r="N5" s="12">
        <v>0.1</v>
      </c>
      <c r="O5" s="12">
        <v>2</v>
      </c>
      <c r="P5" s="11" t="s">
        <v>85</v>
      </c>
      <c r="Q5" s="11" t="s">
        <v>86</v>
      </c>
      <c r="R5" s="11" t="s">
        <v>87</v>
      </c>
      <c r="S5" s="11" t="s">
        <v>88</v>
      </c>
      <c r="T5" s="11" t="s">
        <v>89</v>
      </c>
      <c r="U5" s="11" t="s">
        <v>90</v>
      </c>
      <c r="V5" s="11" t="s">
        <v>83</v>
      </c>
      <c r="W5" s="11" t="s">
        <v>82</v>
      </c>
      <c r="X5" s="12">
        <v>1</v>
      </c>
      <c r="Y5" s="12">
        <v>0</v>
      </c>
      <c r="Z5" s="24">
        <v>20</v>
      </c>
      <c r="AA5" t="s">
        <v>609</v>
      </c>
      <c r="AB5" t="s">
        <v>92</v>
      </c>
    </row>
    <row r="6" spans="2:28" x14ac:dyDescent="0.25">
      <c r="B6" s="11" t="s">
        <v>136</v>
      </c>
      <c r="C6" s="11" t="s">
        <v>610</v>
      </c>
      <c r="D6" s="11" t="s">
        <v>611</v>
      </c>
      <c r="E6" s="12">
        <v>3</v>
      </c>
      <c r="F6" s="23">
        <v>6430000</v>
      </c>
      <c r="G6" s="11">
        <v>5.4</v>
      </c>
      <c r="H6" s="23">
        <f t="shared" si="0"/>
        <v>34722000</v>
      </c>
      <c r="J6" s="24">
        <v>222</v>
      </c>
      <c r="K6" s="12">
        <v>1.2579704287742424</v>
      </c>
      <c r="L6" s="11" t="s">
        <v>83</v>
      </c>
      <c r="M6" s="11" t="s">
        <v>84</v>
      </c>
      <c r="N6" s="12">
        <v>0.1</v>
      </c>
      <c r="O6" s="12">
        <v>2</v>
      </c>
      <c r="P6" s="11" t="s">
        <v>85</v>
      </c>
      <c r="Q6" s="11" t="s">
        <v>86</v>
      </c>
      <c r="R6" s="11" t="s">
        <v>87</v>
      </c>
      <c r="S6" s="11" t="s">
        <v>88</v>
      </c>
      <c r="T6" s="11" t="s">
        <v>89</v>
      </c>
      <c r="U6" s="11" t="s">
        <v>90</v>
      </c>
      <c r="V6" s="11" t="s">
        <v>83</v>
      </c>
      <c r="W6" s="11" t="s">
        <v>82</v>
      </c>
      <c r="X6" s="12">
        <v>1</v>
      </c>
      <c r="Y6" s="12">
        <v>0</v>
      </c>
      <c r="Z6" s="24">
        <v>20</v>
      </c>
      <c r="AA6" t="s">
        <v>612</v>
      </c>
      <c r="AB6" t="s">
        <v>92</v>
      </c>
    </row>
    <row r="7" spans="2:28" x14ac:dyDescent="0.25">
      <c r="B7" s="11" t="s">
        <v>147</v>
      </c>
      <c r="C7" s="11" t="s">
        <v>613</v>
      </c>
      <c r="D7" s="11" t="s">
        <v>614</v>
      </c>
      <c r="E7" s="12">
        <v>3</v>
      </c>
      <c r="F7" s="23">
        <v>6490000</v>
      </c>
      <c r="G7" s="11">
        <v>5.4</v>
      </c>
      <c r="H7" s="23">
        <f t="shared" si="0"/>
        <v>35046000</v>
      </c>
      <c r="J7" s="24">
        <v>224</v>
      </c>
      <c r="K7" s="12">
        <v>1.3202507349089456</v>
      </c>
      <c r="L7" s="11" t="s">
        <v>83</v>
      </c>
      <c r="M7" s="11" t="s">
        <v>84</v>
      </c>
      <c r="N7" s="12">
        <v>0.1</v>
      </c>
      <c r="O7" s="12">
        <v>2</v>
      </c>
      <c r="P7" s="11" t="s">
        <v>85</v>
      </c>
      <c r="Q7" s="11" t="s">
        <v>86</v>
      </c>
      <c r="R7" s="11" t="s">
        <v>87</v>
      </c>
      <c r="S7" s="11" t="s">
        <v>88</v>
      </c>
      <c r="T7" s="11" t="s">
        <v>89</v>
      </c>
      <c r="U7" s="11" t="s">
        <v>90</v>
      </c>
      <c r="V7" s="11" t="s">
        <v>83</v>
      </c>
      <c r="W7" s="11" t="s">
        <v>82</v>
      </c>
      <c r="X7" s="12">
        <v>1</v>
      </c>
      <c r="Y7" s="12">
        <v>0</v>
      </c>
      <c r="Z7" s="24">
        <v>20</v>
      </c>
      <c r="AA7" t="s">
        <v>615</v>
      </c>
      <c r="AB7" t="s">
        <v>92</v>
      </c>
    </row>
    <row r="8" spans="2:28" x14ac:dyDescent="0.25">
      <c r="B8" s="11" t="s">
        <v>158</v>
      </c>
      <c r="C8" s="11" t="s">
        <v>616</v>
      </c>
      <c r="D8" s="11" t="s">
        <v>617</v>
      </c>
      <c r="E8" s="12">
        <v>3</v>
      </c>
      <c r="F8" s="23">
        <v>8310000</v>
      </c>
      <c r="G8" s="11">
        <v>5.3</v>
      </c>
      <c r="H8" s="23">
        <f t="shared" si="0"/>
        <v>44043000</v>
      </c>
      <c r="I8" s="67">
        <f>AVERAGE(H8:H10)</f>
        <v>41428333.333333336</v>
      </c>
      <c r="J8" s="24">
        <v>228</v>
      </c>
      <c r="K8" s="12">
        <v>1.2905900395348633</v>
      </c>
      <c r="L8" s="11" t="s">
        <v>83</v>
      </c>
      <c r="M8" s="11" t="s">
        <v>84</v>
      </c>
      <c r="N8" s="12">
        <v>0.1</v>
      </c>
      <c r="O8" s="12">
        <v>2</v>
      </c>
      <c r="P8" s="11" t="s">
        <v>85</v>
      </c>
      <c r="Q8" s="11" t="s">
        <v>86</v>
      </c>
      <c r="R8" s="11" t="s">
        <v>87</v>
      </c>
      <c r="S8" s="11" t="s">
        <v>88</v>
      </c>
      <c r="T8" s="11" t="s">
        <v>89</v>
      </c>
      <c r="U8" s="11" t="s">
        <v>90</v>
      </c>
      <c r="V8" s="11" t="s">
        <v>83</v>
      </c>
      <c r="W8" s="11" t="s">
        <v>82</v>
      </c>
      <c r="X8" s="12">
        <v>1</v>
      </c>
      <c r="Y8" s="12">
        <v>0</v>
      </c>
      <c r="Z8" s="24">
        <v>20</v>
      </c>
      <c r="AA8" t="s">
        <v>618</v>
      </c>
      <c r="AB8" t="s">
        <v>92</v>
      </c>
    </row>
    <row r="9" spans="2:28" x14ac:dyDescent="0.25">
      <c r="B9" s="11" t="s">
        <v>169</v>
      </c>
      <c r="C9" s="11" t="s">
        <v>619</v>
      </c>
      <c r="D9" s="11" t="s">
        <v>620</v>
      </c>
      <c r="E9" s="12">
        <v>3</v>
      </c>
      <c r="F9" s="23">
        <v>8090000</v>
      </c>
      <c r="G9" s="11">
        <v>5.3</v>
      </c>
      <c r="H9" s="23">
        <f t="shared" si="0"/>
        <v>42877000</v>
      </c>
      <c r="J9" s="24">
        <v>222</v>
      </c>
      <c r="K9" s="12">
        <v>1.3052262715980474</v>
      </c>
      <c r="L9" s="11" t="s">
        <v>83</v>
      </c>
      <c r="M9" s="11" t="s">
        <v>84</v>
      </c>
      <c r="N9" s="12">
        <v>0.1</v>
      </c>
      <c r="O9" s="12">
        <v>2</v>
      </c>
      <c r="P9" s="11" t="s">
        <v>85</v>
      </c>
      <c r="Q9" s="11" t="s">
        <v>86</v>
      </c>
      <c r="R9" s="11" t="s">
        <v>87</v>
      </c>
      <c r="S9" s="11" t="s">
        <v>88</v>
      </c>
      <c r="T9" s="11" t="s">
        <v>89</v>
      </c>
      <c r="U9" s="11" t="s">
        <v>90</v>
      </c>
      <c r="V9" s="11" t="s">
        <v>83</v>
      </c>
      <c r="W9" s="11" t="s">
        <v>82</v>
      </c>
      <c r="X9" s="12">
        <v>1</v>
      </c>
      <c r="Y9" s="12">
        <v>0</v>
      </c>
      <c r="Z9" s="24">
        <v>20</v>
      </c>
      <c r="AA9" t="s">
        <v>621</v>
      </c>
      <c r="AB9" t="s">
        <v>92</v>
      </c>
    </row>
    <row r="10" spans="2:28" x14ac:dyDescent="0.25">
      <c r="B10" s="11" t="s">
        <v>180</v>
      </c>
      <c r="C10" s="11" t="s">
        <v>622</v>
      </c>
      <c r="D10" s="11" t="s">
        <v>623</v>
      </c>
      <c r="E10" s="12">
        <v>3</v>
      </c>
      <c r="F10" s="23">
        <v>7050000</v>
      </c>
      <c r="G10" s="11">
        <v>5.3</v>
      </c>
      <c r="H10" s="23">
        <f t="shared" si="0"/>
        <v>37365000</v>
      </c>
      <c r="J10" s="24">
        <v>232</v>
      </c>
      <c r="K10" s="12">
        <v>1.2527953573573238</v>
      </c>
      <c r="L10" s="11" t="s">
        <v>83</v>
      </c>
      <c r="M10" s="11" t="s">
        <v>84</v>
      </c>
      <c r="N10" s="12">
        <v>0.1</v>
      </c>
      <c r="O10" s="12">
        <v>2</v>
      </c>
      <c r="P10" s="11" t="s">
        <v>85</v>
      </c>
      <c r="Q10" s="11" t="s">
        <v>86</v>
      </c>
      <c r="R10" s="11" t="s">
        <v>87</v>
      </c>
      <c r="S10" s="11" t="s">
        <v>88</v>
      </c>
      <c r="T10" s="11" t="s">
        <v>89</v>
      </c>
      <c r="U10" s="11" t="s">
        <v>90</v>
      </c>
      <c r="V10" s="11" t="s">
        <v>83</v>
      </c>
      <c r="W10" s="11" t="s">
        <v>82</v>
      </c>
      <c r="X10" s="12">
        <v>1</v>
      </c>
      <c r="Y10" s="12">
        <v>0</v>
      </c>
      <c r="Z10" s="24">
        <v>20</v>
      </c>
      <c r="AA10" t="s">
        <v>624</v>
      </c>
      <c r="AB10" t="s">
        <v>92</v>
      </c>
    </row>
    <row r="11" spans="2:28" x14ac:dyDescent="0.25">
      <c r="B11" s="11" t="s">
        <v>191</v>
      </c>
      <c r="C11" s="11" t="s">
        <v>625</v>
      </c>
      <c r="D11" s="11" t="s">
        <v>626</v>
      </c>
      <c r="E11" s="12">
        <v>3</v>
      </c>
      <c r="F11" s="23">
        <v>7620000</v>
      </c>
      <c r="G11" s="11">
        <v>5</v>
      </c>
      <c r="H11" s="23">
        <f t="shared" si="0"/>
        <v>38100000</v>
      </c>
      <c r="I11" s="23">
        <f>AVERAGE(H11:H13)</f>
        <v>35700000</v>
      </c>
      <c r="J11" s="24">
        <v>215</v>
      </c>
      <c r="K11" s="12">
        <v>1.2635108255941045</v>
      </c>
      <c r="L11" s="11" t="s">
        <v>83</v>
      </c>
      <c r="M11" s="11" t="s">
        <v>84</v>
      </c>
      <c r="N11" s="12">
        <v>0.1</v>
      </c>
      <c r="O11" s="12">
        <v>2</v>
      </c>
      <c r="P11" s="11" t="s">
        <v>85</v>
      </c>
      <c r="Q11" s="11" t="s">
        <v>86</v>
      </c>
      <c r="R11" s="11" t="s">
        <v>87</v>
      </c>
      <c r="S11" s="11" t="s">
        <v>88</v>
      </c>
      <c r="T11" s="11" t="s">
        <v>89</v>
      </c>
      <c r="U11" s="11" t="s">
        <v>90</v>
      </c>
      <c r="V11" s="11" t="s">
        <v>83</v>
      </c>
      <c r="W11" s="11" t="s">
        <v>82</v>
      </c>
      <c r="X11" s="12">
        <v>1</v>
      </c>
      <c r="Y11" s="12">
        <v>0</v>
      </c>
      <c r="Z11" s="24">
        <v>20</v>
      </c>
      <c r="AA11" t="s">
        <v>627</v>
      </c>
      <c r="AB11" t="s">
        <v>92</v>
      </c>
    </row>
    <row r="12" spans="2:28" x14ac:dyDescent="0.25">
      <c r="B12" s="11" t="s">
        <v>238</v>
      </c>
      <c r="C12" s="11" t="s">
        <v>628</v>
      </c>
      <c r="D12" s="11" t="s">
        <v>629</v>
      </c>
      <c r="E12" s="12">
        <v>3</v>
      </c>
      <c r="F12" s="23">
        <v>7300000</v>
      </c>
      <c r="G12" s="11">
        <v>5</v>
      </c>
      <c r="H12" s="23">
        <f t="shared" si="0"/>
        <v>36500000</v>
      </c>
      <c r="I12" s="23"/>
      <c r="J12" s="24">
        <v>217</v>
      </c>
      <c r="K12" s="12">
        <v>1.2769792489976906</v>
      </c>
      <c r="L12" s="11" t="s">
        <v>83</v>
      </c>
      <c r="M12" s="11" t="s">
        <v>84</v>
      </c>
      <c r="N12" s="12">
        <v>0.1</v>
      </c>
      <c r="O12" s="12">
        <v>2</v>
      </c>
      <c r="P12" s="11" t="s">
        <v>85</v>
      </c>
      <c r="Q12" s="11" t="s">
        <v>86</v>
      </c>
      <c r="R12" s="11" t="s">
        <v>87</v>
      </c>
      <c r="S12" s="11" t="s">
        <v>88</v>
      </c>
      <c r="T12" s="11" t="s">
        <v>89</v>
      </c>
      <c r="U12" s="11" t="s">
        <v>90</v>
      </c>
      <c r="V12" s="11" t="s">
        <v>83</v>
      </c>
      <c r="W12" s="11" t="s">
        <v>82</v>
      </c>
      <c r="X12" s="12">
        <v>1</v>
      </c>
      <c r="Y12" s="12">
        <v>0</v>
      </c>
      <c r="Z12" s="24">
        <v>20</v>
      </c>
      <c r="AA12" t="s">
        <v>630</v>
      </c>
      <c r="AB12" t="s">
        <v>92</v>
      </c>
    </row>
    <row r="13" spans="2:28" x14ac:dyDescent="0.25">
      <c r="B13" s="11" t="s">
        <v>242</v>
      </c>
      <c r="C13" s="11" t="s">
        <v>631</v>
      </c>
      <c r="D13" s="11" t="s">
        <v>632</v>
      </c>
      <c r="E13" s="12">
        <v>3</v>
      </c>
      <c r="F13" s="23">
        <v>6500000</v>
      </c>
      <c r="G13" s="11">
        <v>5</v>
      </c>
      <c r="H13" s="23">
        <f t="shared" si="0"/>
        <v>32500000</v>
      </c>
      <c r="I13" s="23"/>
      <c r="J13" s="24">
        <v>219</v>
      </c>
      <c r="K13" s="12">
        <v>1.2239260055536183</v>
      </c>
      <c r="L13" s="11" t="s">
        <v>83</v>
      </c>
      <c r="M13" s="11" t="s">
        <v>84</v>
      </c>
      <c r="N13" s="12">
        <v>0.1</v>
      </c>
      <c r="O13" s="12">
        <v>2</v>
      </c>
      <c r="P13" s="11" t="s">
        <v>85</v>
      </c>
      <c r="Q13" s="11" t="s">
        <v>86</v>
      </c>
      <c r="R13" s="11" t="s">
        <v>87</v>
      </c>
      <c r="S13" s="11" t="s">
        <v>88</v>
      </c>
      <c r="T13" s="11" t="s">
        <v>89</v>
      </c>
      <c r="U13" s="11" t="s">
        <v>90</v>
      </c>
      <c r="V13" s="11" t="s">
        <v>83</v>
      </c>
      <c r="W13" s="11" t="s">
        <v>82</v>
      </c>
      <c r="X13" s="12">
        <v>1</v>
      </c>
      <c r="Y13" s="12">
        <v>0</v>
      </c>
      <c r="Z13" s="24">
        <v>20</v>
      </c>
      <c r="AA13" t="s">
        <v>633</v>
      </c>
      <c r="AB13" t="s">
        <v>92</v>
      </c>
    </row>
    <row r="14" spans="2:28" x14ac:dyDescent="0.25">
      <c r="B14" s="11" t="s">
        <v>247</v>
      </c>
      <c r="C14" s="11" t="s">
        <v>634</v>
      </c>
      <c r="D14" s="11" t="s">
        <v>635</v>
      </c>
      <c r="E14" s="12">
        <v>2</v>
      </c>
      <c r="F14" s="23">
        <v>2730000</v>
      </c>
      <c r="G14" s="11">
        <v>5.6</v>
      </c>
      <c r="H14" s="23">
        <f t="shared" si="0"/>
        <v>15287999.999999998</v>
      </c>
      <c r="I14" s="23">
        <f>AVERAGE(H14:H16)</f>
        <v>13776000</v>
      </c>
      <c r="J14" s="24">
        <v>208</v>
      </c>
      <c r="K14" s="12">
        <v>0.94235785218554724</v>
      </c>
      <c r="L14" s="11" t="s">
        <v>83</v>
      </c>
      <c r="M14" s="11" t="s">
        <v>84</v>
      </c>
      <c r="N14" s="12">
        <v>0.1</v>
      </c>
      <c r="O14" s="12">
        <v>2</v>
      </c>
      <c r="P14" s="11" t="s">
        <v>85</v>
      </c>
      <c r="Q14" s="11" t="s">
        <v>86</v>
      </c>
      <c r="R14" s="11" t="s">
        <v>87</v>
      </c>
      <c r="S14" s="11" t="s">
        <v>88</v>
      </c>
      <c r="T14" s="11" t="s">
        <v>89</v>
      </c>
      <c r="U14" s="11" t="s">
        <v>90</v>
      </c>
      <c r="V14" s="11" t="s">
        <v>83</v>
      </c>
      <c r="W14" s="11" t="s">
        <v>82</v>
      </c>
      <c r="X14" s="12">
        <v>1</v>
      </c>
      <c r="Y14" s="12">
        <v>0</v>
      </c>
      <c r="Z14" s="24">
        <v>20</v>
      </c>
      <c r="AA14" t="s">
        <v>636</v>
      </c>
      <c r="AB14" t="s">
        <v>92</v>
      </c>
    </row>
    <row r="15" spans="2:28" x14ac:dyDescent="0.25">
      <c r="B15" s="11" t="s">
        <v>260</v>
      </c>
      <c r="C15" s="11" t="s">
        <v>637</v>
      </c>
      <c r="D15" s="11" t="s">
        <v>638</v>
      </c>
      <c r="E15" s="12">
        <v>2</v>
      </c>
      <c r="F15" s="23">
        <v>2610000</v>
      </c>
      <c r="G15" s="11">
        <v>5.6</v>
      </c>
      <c r="H15" s="23">
        <f t="shared" si="0"/>
        <v>14616000</v>
      </c>
      <c r="I15" s="23"/>
      <c r="J15" s="24">
        <v>207</v>
      </c>
      <c r="K15" s="12">
        <v>0.92655796348378194</v>
      </c>
      <c r="L15" s="11" t="s">
        <v>83</v>
      </c>
      <c r="M15" s="11" t="s">
        <v>84</v>
      </c>
      <c r="N15" s="12">
        <v>0.1</v>
      </c>
      <c r="O15" s="12">
        <v>2</v>
      </c>
      <c r="P15" s="11" t="s">
        <v>85</v>
      </c>
      <c r="Q15" s="11" t="s">
        <v>86</v>
      </c>
      <c r="R15" s="11" t="s">
        <v>87</v>
      </c>
      <c r="S15" s="11" t="s">
        <v>88</v>
      </c>
      <c r="T15" s="11" t="s">
        <v>89</v>
      </c>
      <c r="U15" s="11" t="s">
        <v>90</v>
      </c>
      <c r="V15" s="11" t="s">
        <v>83</v>
      </c>
      <c r="W15" s="11" t="s">
        <v>82</v>
      </c>
      <c r="X15" s="12">
        <v>1</v>
      </c>
      <c r="Y15" s="12">
        <v>0</v>
      </c>
      <c r="Z15" s="24">
        <v>20</v>
      </c>
      <c r="AA15" t="s">
        <v>639</v>
      </c>
      <c r="AB15" t="s">
        <v>92</v>
      </c>
    </row>
    <row r="16" spans="2:28" x14ac:dyDescent="0.25">
      <c r="B16" s="11" t="s">
        <v>421</v>
      </c>
      <c r="C16" s="11" t="s">
        <v>640</v>
      </c>
      <c r="D16" s="11" t="s">
        <v>641</v>
      </c>
      <c r="E16" s="12">
        <v>2</v>
      </c>
      <c r="F16" s="23">
        <v>2040000</v>
      </c>
      <c r="G16" s="11">
        <v>5.6</v>
      </c>
      <c r="H16" s="23">
        <f t="shared" si="0"/>
        <v>11424000</v>
      </c>
      <c r="I16" s="23"/>
      <c r="J16" s="24">
        <v>202</v>
      </c>
      <c r="K16" s="12">
        <v>1.0102049010399696</v>
      </c>
      <c r="L16" s="11" t="s">
        <v>83</v>
      </c>
      <c r="M16" s="11" t="s">
        <v>84</v>
      </c>
      <c r="N16" s="12">
        <v>0.1</v>
      </c>
      <c r="O16" s="12">
        <v>2</v>
      </c>
      <c r="P16" s="11" t="s">
        <v>85</v>
      </c>
      <c r="Q16" s="11" t="s">
        <v>86</v>
      </c>
      <c r="R16" s="11" t="s">
        <v>87</v>
      </c>
      <c r="S16" s="11" t="s">
        <v>88</v>
      </c>
      <c r="T16" s="11" t="s">
        <v>89</v>
      </c>
      <c r="U16" s="11" t="s">
        <v>90</v>
      </c>
      <c r="V16" s="11" t="s">
        <v>83</v>
      </c>
      <c r="W16" s="11" t="s">
        <v>82</v>
      </c>
      <c r="X16" s="12">
        <v>1</v>
      </c>
      <c r="Y16" s="12">
        <v>0</v>
      </c>
      <c r="Z16" s="24">
        <v>20</v>
      </c>
      <c r="AA16" t="s">
        <v>642</v>
      </c>
      <c r="AB16" t="s">
        <v>92</v>
      </c>
    </row>
    <row r="17" spans="2:28" x14ac:dyDescent="0.25">
      <c r="B17" s="11" t="s">
        <v>425</v>
      </c>
      <c r="C17" s="11" t="s">
        <v>643</v>
      </c>
      <c r="D17" s="11" t="s">
        <v>644</v>
      </c>
      <c r="E17" s="12">
        <v>2</v>
      </c>
      <c r="F17" s="23">
        <v>4970000</v>
      </c>
      <c r="G17" s="11">
        <v>5.6</v>
      </c>
      <c r="H17" s="23">
        <f t="shared" si="0"/>
        <v>27832000</v>
      </c>
      <c r="I17" s="23">
        <f>AVERAGE(H17:H19)</f>
        <v>27104000</v>
      </c>
      <c r="J17" s="24">
        <v>211</v>
      </c>
      <c r="K17" s="12">
        <v>0.91443427220856432</v>
      </c>
      <c r="L17" s="11" t="s">
        <v>83</v>
      </c>
      <c r="M17" s="11" t="s">
        <v>84</v>
      </c>
      <c r="N17" s="12">
        <v>0.1</v>
      </c>
      <c r="O17" s="12">
        <v>2</v>
      </c>
      <c r="P17" s="11" t="s">
        <v>85</v>
      </c>
      <c r="Q17" s="11" t="s">
        <v>86</v>
      </c>
      <c r="R17" s="11" t="s">
        <v>87</v>
      </c>
      <c r="S17" s="11" t="s">
        <v>88</v>
      </c>
      <c r="T17" s="11" t="s">
        <v>89</v>
      </c>
      <c r="U17" s="11" t="s">
        <v>90</v>
      </c>
      <c r="V17" s="11" t="s">
        <v>83</v>
      </c>
      <c r="W17" s="11" t="s">
        <v>82</v>
      </c>
      <c r="X17" s="12">
        <v>1</v>
      </c>
      <c r="Y17" s="12">
        <v>0</v>
      </c>
      <c r="Z17" s="24">
        <v>20</v>
      </c>
      <c r="AA17" t="s">
        <v>645</v>
      </c>
      <c r="AB17" t="s">
        <v>92</v>
      </c>
    </row>
    <row r="18" spans="2:28" x14ac:dyDescent="0.25">
      <c r="B18" s="11" t="s">
        <v>428</v>
      </c>
      <c r="C18" s="11" t="s">
        <v>646</v>
      </c>
      <c r="D18" s="11" t="s">
        <v>647</v>
      </c>
      <c r="E18" s="12">
        <v>2</v>
      </c>
      <c r="F18" s="23">
        <v>4280000</v>
      </c>
      <c r="G18" s="11">
        <v>5.6</v>
      </c>
      <c r="H18" s="23">
        <f t="shared" si="0"/>
        <v>23968000</v>
      </c>
      <c r="I18" s="23"/>
      <c r="J18" s="24">
        <v>211</v>
      </c>
      <c r="K18" s="12">
        <v>0.97152152136044612</v>
      </c>
      <c r="L18" s="11" t="s">
        <v>83</v>
      </c>
      <c r="M18" s="11" t="s">
        <v>84</v>
      </c>
      <c r="N18" s="12">
        <v>0.1</v>
      </c>
      <c r="O18" s="12">
        <v>2</v>
      </c>
      <c r="P18" s="11" t="s">
        <v>85</v>
      </c>
      <c r="Q18" s="11" t="s">
        <v>86</v>
      </c>
      <c r="R18" s="11" t="s">
        <v>87</v>
      </c>
      <c r="S18" s="11" t="s">
        <v>88</v>
      </c>
      <c r="T18" s="11" t="s">
        <v>89</v>
      </c>
      <c r="U18" s="11" t="s">
        <v>90</v>
      </c>
      <c r="V18" s="11" t="s">
        <v>83</v>
      </c>
      <c r="W18" s="11" t="s">
        <v>82</v>
      </c>
      <c r="X18" s="12">
        <v>1</v>
      </c>
      <c r="Y18" s="12">
        <v>0</v>
      </c>
      <c r="Z18" s="24">
        <v>20</v>
      </c>
      <c r="AA18" t="s">
        <v>648</v>
      </c>
      <c r="AB18" t="s">
        <v>92</v>
      </c>
    </row>
    <row r="19" spans="2:28" x14ac:dyDescent="0.25">
      <c r="B19" s="11" t="s">
        <v>431</v>
      </c>
      <c r="C19" s="11" t="s">
        <v>649</v>
      </c>
      <c r="D19" s="11" t="s">
        <v>650</v>
      </c>
      <c r="E19" s="12">
        <v>2</v>
      </c>
      <c r="F19" s="23">
        <v>5270000</v>
      </c>
      <c r="G19" s="11">
        <v>5.6</v>
      </c>
      <c r="H19" s="23">
        <f t="shared" si="0"/>
        <v>29511999.999999996</v>
      </c>
      <c r="I19" s="23"/>
      <c r="J19" s="24">
        <v>212</v>
      </c>
      <c r="K19" s="12">
        <v>0.90657812122835724</v>
      </c>
      <c r="L19" s="11" t="s">
        <v>83</v>
      </c>
      <c r="M19" s="11" t="s">
        <v>84</v>
      </c>
      <c r="N19" s="12">
        <v>0.1</v>
      </c>
      <c r="O19" s="12">
        <v>2</v>
      </c>
      <c r="P19" s="11" t="s">
        <v>85</v>
      </c>
      <c r="Q19" s="11" t="s">
        <v>86</v>
      </c>
      <c r="R19" s="11" t="s">
        <v>87</v>
      </c>
      <c r="S19" s="11" t="s">
        <v>88</v>
      </c>
      <c r="T19" s="11" t="s">
        <v>89</v>
      </c>
      <c r="U19" s="11" t="s">
        <v>90</v>
      </c>
      <c r="V19" s="11" t="s">
        <v>83</v>
      </c>
      <c r="W19" s="11" t="s">
        <v>82</v>
      </c>
      <c r="X19" s="12">
        <v>1</v>
      </c>
      <c r="Y19" s="12">
        <v>0</v>
      </c>
      <c r="Z19" s="24">
        <v>20</v>
      </c>
      <c r="AA19" t="s">
        <v>651</v>
      </c>
      <c r="AB19" t="s">
        <v>92</v>
      </c>
    </row>
    <row r="20" spans="2:28" x14ac:dyDescent="0.25">
      <c r="B20" s="11" t="s">
        <v>434</v>
      </c>
      <c r="C20" s="11" t="s">
        <v>652</v>
      </c>
      <c r="D20" s="11" t="s">
        <v>653</v>
      </c>
      <c r="E20" s="12">
        <v>2</v>
      </c>
      <c r="F20" s="23">
        <v>3610000</v>
      </c>
      <c r="G20" s="11">
        <v>3.7</v>
      </c>
      <c r="H20" s="23">
        <f t="shared" si="0"/>
        <v>13357000</v>
      </c>
      <c r="I20" s="23">
        <f>AVERAGE(H20:H22)</f>
        <v>11470000</v>
      </c>
      <c r="J20" s="24">
        <v>205</v>
      </c>
      <c r="K20" s="12">
        <v>0.90956043393359698</v>
      </c>
      <c r="L20" s="11" t="s">
        <v>83</v>
      </c>
      <c r="M20" s="11" t="s">
        <v>84</v>
      </c>
      <c r="N20" s="12">
        <v>0.1</v>
      </c>
      <c r="O20" s="12">
        <v>2</v>
      </c>
      <c r="P20" s="11" t="s">
        <v>85</v>
      </c>
      <c r="Q20" s="11" t="s">
        <v>86</v>
      </c>
      <c r="R20" s="11" t="s">
        <v>87</v>
      </c>
      <c r="S20" s="11" t="s">
        <v>88</v>
      </c>
      <c r="T20" s="11" t="s">
        <v>89</v>
      </c>
      <c r="U20" s="11" t="s">
        <v>90</v>
      </c>
      <c r="V20" s="11" t="s">
        <v>83</v>
      </c>
      <c r="W20" s="11" t="s">
        <v>82</v>
      </c>
      <c r="X20" s="12">
        <v>1</v>
      </c>
      <c r="Y20" s="12">
        <v>0</v>
      </c>
      <c r="Z20" s="24">
        <v>20</v>
      </c>
      <c r="AA20" t="s">
        <v>654</v>
      </c>
      <c r="AB20" t="s">
        <v>92</v>
      </c>
    </row>
    <row r="21" spans="2:28" x14ac:dyDescent="0.25">
      <c r="B21" s="11" t="s">
        <v>438</v>
      </c>
      <c r="C21" s="11" t="s">
        <v>655</v>
      </c>
      <c r="D21" s="11" t="s">
        <v>656</v>
      </c>
      <c r="E21" s="12">
        <v>2</v>
      </c>
      <c r="F21" s="23">
        <v>3010000</v>
      </c>
      <c r="G21" s="11">
        <v>3.7</v>
      </c>
      <c r="H21" s="23">
        <f t="shared" si="0"/>
        <v>11137000</v>
      </c>
      <c r="I21" s="23"/>
      <c r="J21" s="24">
        <v>203</v>
      </c>
      <c r="K21" s="12">
        <v>0.98670721987331744</v>
      </c>
      <c r="L21" s="11" t="s">
        <v>83</v>
      </c>
      <c r="M21" s="11" t="s">
        <v>84</v>
      </c>
      <c r="N21" s="12">
        <v>0.1</v>
      </c>
      <c r="O21" s="12">
        <v>2</v>
      </c>
      <c r="P21" s="11" t="s">
        <v>85</v>
      </c>
      <c r="Q21" s="11" t="s">
        <v>86</v>
      </c>
      <c r="R21" s="11" t="s">
        <v>87</v>
      </c>
      <c r="S21" s="11" t="s">
        <v>88</v>
      </c>
      <c r="T21" s="11" t="s">
        <v>89</v>
      </c>
      <c r="U21" s="11" t="s">
        <v>90</v>
      </c>
      <c r="V21" s="11" t="s">
        <v>83</v>
      </c>
      <c r="W21" s="11" t="s">
        <v>82</v>
      </c>
      <c r="X21" s="12">
        <v>1</v>
      </c>
      <c r="Y21" s="12">
        <v>0</v>
      </c>
      <c r="Z21" s="24">
        <v>20</v>
      </c>
      <c r="AA21" t="s">
        <v>657</v>
      </c>
      <c r="AB21" t="s">
        <v>92</v>
      </c>
    </row>
    <row r="22" spans="2:28" x14ac:dyDescent="0.25">
      <c r="B22" s="11" t="s">
        <v>442</v>
      </c>
      <c r="C22" s="11" t="s">
        <v>658</v>
      </c>
      <c r="D22" s="11" t="s">
        <v>659</v>
      </c>
      <c r="E22" s="12">
        <v>2</v>
      </c>
      <c r="F22" s="23">
        <v>2680000</v>
      </c>
      <c r="G22" s="11">
        <v>3.7</v>
      </c>
      <c r="H22" s="23">
        <f t="shared" si="0"/>
        <v>9916000</v>
      </c>
      <c r="I22" s="23"/>
      <c r="J22" s="24">
        <v>229</v>
      </c>
      <c r="K22" s="12">
        <v>0.99092451853611929</v>
      </c>
      <c r="L22" s="11" t="s">
        <v>83</v>
      </c>
      <c r="M22" s="11" t="s">
        <v>84</v>
      </c>
      <c r="N22" s="12">
        <v>0.1</v>
      </c>
      <c r="O22" s="12">
        <v>2</v>
      </c>
      <c r="P22" s="11" t="s">
        <v>85</v>
      </c>
      <c r="Q22" s="11" t="s">
        <v>86</v>
      </c>
      <c r="R22" s="11" t="s">
        <v>87</v>
      </c>
      <c r="S22" s="11" t="s">
        <v>88</v>
      </c>
      <c r="T22" s="11" t="s">
        <v>89</v>
      </c>
      <c r="U22" s="11" t="s">
        <v>90</v>
      </c>
      <c r="V22" s="11" t="s">
        <v>83</v>
      </c>
      <c r="W22" s="11" t="s">
        <v>82</v>
      </c>
      <c r="X22" s="12">
        <v>1</v>
      </c>
      <c r="Y22" s="12">
        <v>0</v>
      </c>
      <c r="Z22" s="24">
        <v>20</v>
      </c>
      <c r="AA22" t="s">
        <v>660</v>
      </c>
      <c r="AB22" t="s">
        <v>92</v>
      </c>
    </row>
    <row r="23" spans="2:28" x14ac:dyDescent="0.25">
      <c r="B23" s="11" t="s">
        <v>446</v>
      </c>
      <c r="C23" s="11" t="s">
        <v>661</v>
      </c>
      <c r="D23" s="11" t="s">
        <v>662</v>
      </c>
      <c r="E23" s="12">
        <v>0</v>
      </c>
      <c r="F23" s="23">
        <v>2100</v>
      </c>
      <c r="G23" s="11">
        <v>3.2</v>
      </c>
      <c r="H23" s="23">
        <f t="shared" si="0"/>
        <v>6720</v>
      </c>
      <c r="I23" s="23">
        <f>AVERAGE(H23:H25)</f>
        <v>7210.666666666667</v>
      </c>
      <c r="J23" s="24">
        <v>105</v>
      </c>
      <c r="K23" s="12">
        <v>1.2944572912609036</v>
      </c>
      <c r="L23" s="11" t="s">
        <v>83</v>
      </c>
      <c r="M23" s="11" t="s">
        <v>84</v>
      </c>
      <c r="N23" s="12">
        <v>0.1</v>
      </c>
      <c r="O23" s="12">
        <v>2</v>
      </c>
      <c r="P23" s="11" t="s">
        <v>85</v>
      </c>
      <c r="Q23" s="11" t="s">
        <v>86</v>
      </c>
      <c r="R23" s="11" t="s">
        <v>87</v>
      </c>
      <c r="S23" s="11" t="s">
        <v>88</v>
      </c>
      <c r="T23" s="11" t="s">
        <v>89</v>
      </c>
      <c r="U23" s="11" t="s">
        <v>90</v>
      </c>
      <c r="V23" s="11" t="s">
        <v>83</v>
      </c>
      <c r="W23" s="11" t="s">
        <v>82</v>
      </c>
      <c r="X23" s="12">
        <v>1</v>
      </c>
      <c r="Y23" s="12">
        <v>0</v>
      </c>
      <c r="Z23" s="24">
        <v>20</v>
      </c>
      <c r="AA23" t="s">
        <v>663</v>
      </c>
      <c r="AB23" t="s">
        <v>92</v>
      </c>
    </row>
    <row r="24" spans="2:28" x14ac:dyDescent="0.25">
      <c r="B24" s="11" t="s">
        <v>450</v>
      </c>
      <c r="C24" s="11" t="s">
        <v>664</v>
      </c>
      <c r="D24" s="11" t="s">
        <v>665</v>
      </c>
      <c r="E24" s="12">
        <v>0</v>
      </c>
      <c r="F24" s="23">
        <v>2140</v>
      </c>
      <c r="G24" s="11">
        <v>3.2</v>
      </c>
      <c r="H24" s="23">
        <f t="shared" si="0"/>
        <v>6848</v>
      </c>
      <c r="I24" s="23"/>
      <c r="J24" s="24">
        <v>107</v>
      </c>
      <c r="K24" s="12">
        <v>1.3557216469585394</v>
      </c>
      <c r="L24" s="11" t="s">
        <v>83</v>
      </c>
      <c r="M24" s="11" t="s">
        <v>84</v>
      </c>
      <c r="N24" s="12">
        <v>0.1</v>
      </c>
      <c r="O24" s="12">
        <v>2</v>
      </c>
      <c r="P24" s="11" t="s">
        <v>85</v>
      </c>
      <c r="Q24" s="11" t="s">
        <v>86</v>
      </c>
      <c r="R24" s="11" t="s">
        <v>87</v>
      </c>
      <c r="S24" s="11" t="s">
        <v>88</v>
      </c>
      <c r="T24" s="11" t="s">
        <v>89</v>
      </c>
      <c r="U24" s="11" t="s">
        <v>90</v>
      </c>
      <c r="V24" s="11" t="s">
        <v>83</v>
      </c>
      <c r="W24" s="11" t="s">
        <v>82</v>
      </c>
      <c r="X24" s="12">
        <v>1</v>
      </c>
      <c r="Y24" s="12">
        <v>0</v>
      </c>
      <c r="Z24" s="24">
        <v>20</v>
      </c>
      <c r="AA24" t="s">
        <v>666</v>
      </c>
      <c r="AB24" t="s">
        <v>92</v>
      </c>
    </row>
    <row r="25" spans="2:28" x14ac:dyDescent="0.25">
      <c r="B25" s="11" t="s">
        <v>454</v>
      </c>
      <c r="C25" s="11" t="s">
        <v>667</v>
      </c>
      <c r="D25" s="11" t="s">
        <v>668</v>
      </c>
      <c r="E25" s="12">
        <v>0</v>
      </c>
      <c r="F25" s="23">
        <v>2520</v>
      </c>
      <c r="G25" s="11">
        <v>3.2</v>
      </c>
      <c r="H25" s="23">
        <f t="shared" si="0"/>
        <v>8064</v>
      </c>
      <c r="I25" s="23"/>
      <c r="J25" s="24">
        <v>126</v>
      </c>
      <c r="K25" s="12">
        <v>1.3503714090084511</v>
      </c>
      <c r="L25" s="11" t="s">
        <v>83</v>
      </c>
      <c r="M25" s="11" t="s">
        <v>84</v>
      </c>
      <c r="N25" s="12">
        <v>0.1</v>
      </c>
      <c r="O25" s="12">
        <v>2</v>
      </c>
      <c r="P25" s="11" t="s">
        <v>85</v>
      </c>
      <c r="Q25" s="11" t="s">
        <v>86</v>
      </c>
      <c r="R25" s="11" t="s">
        <v>87</v>
      </c>
      <c r="S25" s="11" t="s">
        <v>88</v>
      </c>
      <c r="T25" s="11" t="s">
        <v>89</v>
      </c>
      <c r="U25" s="11" t="s">
        <v>90</v>
      </c>
      <c r="V25" s="11" t="s">
        <v>83</v>
      </c>
      <c r="W25" s="11" t="s">
        <v>82</v>
      </c>
      <c r="X25" s="12">
        <v>1</v>
      </c>
      <c r="Y25" s="12">
        <v>0</v>
      </c>
      <c r="Z25" s="24">
        <v>20</v>
      </c>
      <c r="AA25" t="s">
        <v>669</v>
      </c>
      <c r="AB25" t="s">
        <v>92</v>
      </c>
    </row>
    <row r="26" spans="2:28" x14ac:dyDescent="0.25">
      <c r="B26" s="11" t="s">
        <v>458</v>
      </c>
      <c r="C26" s="11" t="s">
        <v>670</v>
      </c>
      <c r="D26" s="11" t="s">
        <v>671</v>
      </c>
      <c r="E26" s="12">
        <v>0</v>
      </c>
      <c r="F26" s="11">
        <v>39</v>
      </c>
      <c r="G26" s="11">
        <v>4.0999999999999996</v>
      </c>
      <c r="H26" s="11">
        <f>(4.1/2)*F26</f>
        <v>79.949999999999989</v>
      </c>
      <c r="J26" s="24">
        <v>39</v>
      </c>
      <c r="K26" s="12">
        <v>1.3503714090084511</v>
      </c>
      <c r="L26" s="11" t="s">
        <v>672</v>
      </c>
      <c r="M26" s="11" t="s">
        <v>84</v>
      </c>
      <c r="N26" s="12">
        <v>0.1</v>
      </c>
      <c r="O26" s="12">
        <v>2</v>
      </c>
      <c r="P26" s="11" t="s">
        <v>82</v>
      </c>
      <c r="Q26" s="11" t="s">
        <v>82</v>
      </c>
      <c r="R26" s="11" t="s">
        <v>391</v>
      </c>
      <c r="S26" s="11" t="s">
        <v>88</v>
      </c>
      <c r="T26" s="11" t="s">
        <v>89</v>
      </c>
      <c r="U26" s="11" t="s">
        <v>90</v>
      </c>
      <c r="V26" s="11" t="s">
        <v>673</v>
      </c>
      <c r="W26" s="11" t="s">
        <v>82</v>
      </c>
      <c r="X26" s="12">
        <v>1</v>
      </c>
      <c r="Y26" s="12">
        <v>0</v>
      </c>
      <c r="Z26" s="24">
        <v>20</v>
      </c>
      <c r="AA26" t="s">
        <v>674</v>
      </c>
      <c r="AB26" t="s">
        <v>92</v>
      </c>
    </row>
    <row r="27" spans="2:28" x14ac:dyDescent="0.25">
      <c r="B27" s="11" t="s">
        <v>462</v>
      </c>
      <c r="C27" s="11" t="s">
        <v>675</v>
      </c>
      <c r="D27" s="11" t="s">
        <v>676</v>
      </c>
      <c r="E27" s="12">
        <v>0</v>
      </c>
      <c r="F27" s="11">
        <v>29</v>
      </c>
      <c r="G27" s="11">
        <v>4.3</v>
      </c>
      <c r="H27" s="11">
        <f>F27*G27</f>
        <v>124.69999999999999</v>
      </c>
      <c r="J27" s="24">
        <v>29</v>
      </c>
      <c r="K27" s="12">
        <v>1.3503714090084511</v>
      </c>
      <c r="L27" s="11" t="s">
        <v>672</v>
      </c>
      <c r="M27" s="11" t="s">
        <v>84</v>
      </c>
      <c r="N27" s="12">
        <v>0.1</v>
      </c>
      <c r="O27" s="12">
        <v>2</v>
      </c>
      <c r="P27" s="11" t="s">
        <v>82</v>
      </c>
      <c r="Q27" s="11" t="s">
        <v>82</v>
      </c>
      <c r="R27" s="11" t="s">
        <v>391</v>
      </c>
      <c r="S27" s="11" t="s">
        <v>88</v>
      </c>
      <c r="T27" s="11" t="s">
        <v>89</v>
      </c>
      <c r="U27" s="11" t="s">
        <v>90</v>
      </c>
      <c r="V27" s="11" t="s">
        <v>673</v>
      </c>
      <c r="W27" s="11" t="s">
        <v>82</v>
      </c>
      <c r="X27" s="12">
        <v>1</v>
      </c>
      <c r="Y27" s="12">
        <v>0</v>
      </c>
      <c r="Z27" s="24">
        <v>20</v>
      </c>
      <c r="AA27" t="s">
        <v>677</v>
      </c>
      <c r="AB27" t="s">
        <v>92</v>
      </c>
    </row>
    <row r="29" spans="2:28" x14ac:dyDescent="0.25">
      <c r="D29" s="11" t="s">
        <v>678</v>
      </c>
      <c r="H29" s="11" t="s">
        <v>679</v>
      </c>
      <c r="K29" s="69" t="s">
        <v>680</v>
      </c>
    </row>
    <row r="30" spans="2:28" x14ac:dyDescent="0.25">
      <c r="D30" s="11" t="s">
        <v>681</v>
      </c>
      <c r="H30" s="11" t="s">
        <v>471</v>
      </c>
      <c r="I30" s="23">
        <f>AVERAGE(I14:I20)</f>
        <v>17450000</v>
      </c>
      <c r="K30" s="22" t="s">
        <v>471</v>
      </c>
      <c r="L30" s="23">
        <f>AVERAGE(I2:I8)</f>
        <v>36870111.111111112</v>
      </c>
    </row>
    <row r="31" spans="2:28" x14ac:dyDescent="0.25">
      <c r="H31" s="11" t="s">
        <v>473</v>
      </c>
      <c r="I31" s="23">
        <f>STDEV(I14:I20)</f>
        <v>8439739.0954934154</v>
      </c>
      <c r="K31" s="22" t="s">
        <v>682</v>
      </c>
      <c r="L31" s="23">
        <f>STDEV(I2:I8)</f>
        <v>4262099.4087855788</v>
      </c>
    </row>
    <row r="33" spans="3:13" x14ac:dyDescent="0.25">
      <c r="D33" s="63" t="s">
        <v>683</v>
      </c>
      <c r="H33" s="11" t="s">
        <v>684</v>
      </c>
      <c r="K33" s="22" t="s">
        <v>685</v>
      </c>
      <c r="M33" s="63" t="s">
        <v>686</v>
      </c>
    </row>
    <row r="34" spans="3:13" x14ac:dyDescent="0.25">
      <c r="C34" s="11" t="s">
        <v>687</v>
      </c>
      <c r="D34" s="11" t="s">
        <v>688</v>
      </c>
      <c r="E34" s="11">
        <v>0</v>
      </c>
      <c r="G34" s="23" t="s">
        <v>689</v>
      </c>
      <c r="H34" s="11" t="s">
        <v>690</v>
      </c>
      <c r="I34" s="11">
        <v>0</v>
      </c>
      <c r="J34" s="24" t="s">
        <v>691</v>
      </c>
      <c r="K34" s="22" t="s">
        <v>692</v>
      </c>
      <c r="L34" s="11">
        <v>60</v>
      </c>
      <c r="M34" s="11">
        <f>(4.9/0.5)*L34</f>
        <v>588</v>
      </c>
    </row>
    <row r="35" spans="3:13" x14ac:dyDescent="0.25">
      <c r="C35" s="11" t="s">
        <v>693</v>
      </c>
      <c r="D35" s="11" t="s">
        <v>694</v>
      </c>
      <c r="E35" s="11">
        <v>0</v>
      </c>
      <c r="G35" s="23" t="s">
        <v>695</v>
      </c>
      <c r="H35" s="11" t="s">
        <v>694</v>
      </c>
      <c r="I35" s="11">
        <v>0</v>
      </c>
      <c r="J35" s="24" t="s">
        <v>696</v>
      </c>
      <c r="K35" s="22" t="s">
        <v>697</v>
      </c>
      <c r="L35" s="11">
        <v>0</v>
      </c>
    </row>
    <row r="36" spans="3:13" x14ac:dyDescent="0.25">
      <c r="G36" s="23" t="s">
        <v>698</v>
      </c>
      <c r="H36" s="11" t="s">
        <v>699</v>
      </c>
      <c r="I36" s="11">
        <v>0</v>
      </c>
    </row>
    <row r="38" spans="3:13" x14ac:dyDescent="0.25">
      <c r="D38" s="11" t="s">
        <v>686</v>
      </c>
      <c r="F38" s="64"/>
      <c r="H38" s="11" t="s">
        <v>686</v>
      </c>
    </row>
    <row r="39" spans="3:13" x14ac:dyDescent="0.25">
      <c r="D39" s="11" t="s">
        <v>700</v>
      </c>
      <c r="E39" s="12">
        <v>0</v>
      </c>
      <c r="H39" s="63" t="s">
        <v>701</v>
      </c>
      <c r="I39" s="11">
        <v>588</v>
      </c>
    </row>
    <row r="40" spans="3:13" x14ac:dyDescent="0.25">
      <c r="D40" s="11" t="s">
        <v>702</v>
      </c>
      <c r="E40" s="11">
        <v>7210.666666666667</v>
      </c>
      <c r="H40" s="63" t="s">
        <v>703</v>
      </c>
      <c r="I40" s="11">
        <v>0</v>
      </c>
    </row>
    <row r="41" spans="3:13" x14ac:dyDescent="0.25">
      <c r="D41" s="11" t="s">
        <v>704</v>
      </c>
      <c r="E41" s="12">
        <v>124.7</v>
      </c>
      <c r="H41" s="11" t="s">
        <v>704</v>
      </c>
      <c r="I41" s="11">
        <v>0</v>
      </c>
    </row>
    <row r="42" spans="3:13" x14ac:dyDescent="0.25">
      <c r="D42" s="11" t="s">
        <v>705</v>
      </c>
      <c r="E42" s="12">
        <v>0</v>
      </c>
      <c r="H42" s="11" t="s">
        <v>705</v>
      </c>
      <c r="I42" s="11">
        <v>0</v>
      </c>
    </row>
    <row r="43" spans="3:13" x14ac:dyDescent="0.25">
      <c r="D43" s="11" t="s">
        <v>528</v>
      </c>
      <c r="E43" s="12">
        <v>79.95</v>
      </c>
      <c r="H43" s="11" t="s">
        <v>528</v>
      </c>
      <c r="I43" s="11">
        <v>0</v>
      </c>
    </row>
    <row r="44" spans="3:13" x14ac:dyDescent="0.25">
      <c r="D44" s="11" t="s">
        <v>706</v>
      </c>
      <c r="E44" s="23">
        <f>AVERAGE(E39:E43)</f>
        <v>1483.0633333333333</v>
      </c>
      <c r="H44" s="11" t="s">
        <v>706</v>
      </c>
      <c r="I44" s="23">
        <f>AVERAGE(I39:I43)</f>
        <v>117.6</v>
      </c>
    </row>
    <row r="45" spans="3:13" x14ac:dyDescent="0.25">
      <c r="D45" s="11" t="s">
        <v>707</v>
      </c>
      <c r="E45" s="23">
        <f>STDEV(E39:E43)</f>
        <v>3202.2754260403999</v>
      </c>
      <c r="H45" s="11" t="s">
        <v>707</v>
      </c>
      <c r="I45" s="23">
        <f>STDEV(I39:I43)</f>
        <v>262.96159415397528</v>
      </c>
    </row>
    <row r="47" spans="3:13" x14ac:dyDescent="0.25">
      <c r="D47" s="63" t="s">
        <v>475</v>
      </c>
      <c r="E47" s="23">
        <f>I30-E44</f>
        <v>17448516.936666667</v>
      </c>
      <c r="H47" s="11" t="s">
        <v>475</v>
      </c>
      <c r="I47" s="23">
        <f>L30-I44</f>
        <v>36869993.51111111</v>
      </c>
    </row>
    <row r="50" spans="1:17" x14ac:dyDescent="0.25">
      <c r="D50" s="11" t="s">
        <v>472</v>
      </c>
      <c r="E50" s="12">
        <f>SQRT((I30/3)+(E44/5))</f>
        <v>2411.8381536357979</v>
      </c>
      <c r="H50" s="11" t="s">
        <v>472</v>
      </c>
      <c r="I50" s="11">
        <f>SQRT((L30/3)+(I44/5))</f>
        <v>3505.7182654966782</v>
      </c>
    </row>
    <row r="51" spans="1:17" x14ac:dyDescent="0.25">
      <c r="A51" t="s">
        <v>764</v>
      </c>
      <c r="D51" s="11" t="s">
        <v>765</v>
      </c>
      <c r="F51" s="23" t="s">
        <v>763</v>
      </c>
      <c r="P51" s="11" t="s">
        <v>797</v>
      </c>
    </row>
    <row r="52" spans="1:17" ht="30" x14ac:dyDescent="0.25">
      <c r="A52" s="5" t="s">
        <v>42</v>
      </c>
      <c r="B52" s="6" t="s">
        <v>43</v>
      </c>
      <c r="C52" s="7" t="s">
        <v>44</v>
      </c>
      <c r="D52" s="7" t="s">
        <v>45</v>
      </c>
      <c r="E52" s="8" t="s">
        <v>46</v>
      </c>
      <c r="F52" s="9" t="s">
        <v>47</v>
      </c>
      <c r="G52" s="10" t="s">
        <v>48</v>
      </c>
      <c r="H52" s="10" t="s">
        <v>781</v>
      </c>
      <c r="J52" s="11"/>
      <c r="K52" s="12" t="s">
        <v>774</v>
      </c>
      <c r="M52" s="11" t="s">
        <v>773</v>
      </c>
      <c r="N52" s="12" t="s">
        <v>472</v>
      </c>
      <c r="P52" s="106" t="s">
        <v>798</v>
      </c>
      <c r="Q52" s="11" t="s">
        <v>472</v>
      </c>
    </row>
    <row r="53" spans="1:17" ht="38.25" x14ac:dyDescent="0.25">
      <c r="A53" s="13" t="s">
        <v>746</v>
      </c>
      <c r="B53" s="14">
        <v>1</v>
      </c>
      <c r="C53" s="15"/>
      <c r="D53" s="16"/>
      <c r="E53" s="17"/>
      <c r="F53" s="15">
        <f>I11</f>
        <v>35700000</v>
      </c>
      <c r="G53" s="149" t="s">
        <v>51</v>
      </c>
      <c r="H53" s="150"/>
      <c r="J53" s="11"/>
      <c r="K53" s="12">
        <f>LOG(F53)</f>
        <v>7.5526682161121936</v>
      </c>
      <c r="M53" s="12">
        <f>(LOG(GEOMEAN(F54:F56)))-(LOG(GEOMEAN(F57:F61)))</f>
        <v>7.0108863212599655</v>
      </c>
      <c r="N53" s="90">
        <f>SQRT(VAR(K54:K56)/3+(VAR(K57:K61)/5))</f>
        <v>0.55462051657438727</v>
      </c>
      <c r="P53" s="12">
        <f>AVERAGE(K54:K56)</f>
        <v>7.5647617864751924</v>
      </c>
      <c r="Q53" s="12">
        <f>SQRT(VAR(K54:K56)/3)</f>
        <v>2.8738239992302655E-2</v>
      </c>
    </row>
    <row r="54" spans="1:17" x14ac:dyDescent="0.25">
      <c r="A54" s="148" t="s">
        <v>748</v>
      </c>
      <c r="B54" s="14">
        <v>1</v>
      </c>
      <c r="C54" s="15"/>
      <c r="D54" s="16"/>
      <c r="E54" s="17"/>
      <c r="F54" s="15">
        <f>I2</f>
        <v>32984000</v>
      </c>
      <c r="G54" s="151">
        <f>AVERAGE(F54:F56)</f>
        <v>36870111.111111112</v>
      </c>
      <c r="H54" s="170">
        <f>STDEV(F54:F56)</f>
        <v>4262099.4087855788</v>
      </c>
      <c r="J54" s="11"/>
      <c r="K54" s="12">
        <f t="shared" ref="K54:K61" si="1">LOG(F54)</f>
        <v>7.5183033217933017</v>
      </c>
      <c r="P54" s="12"/>
    </row>
    <row r="55" spans="1:17" x14ac:dyDescent="0.25">
      <c r="A55" s="148"/>
      <c r="B55" s="14">
        <v>2</v>
      </c>
      <c r="C55" s="15"/>
      <c r="D55" s="16"/>
      <c r="E55" s="17"/>
      <c r="F55" s="15">
        <f>I5</f>
        <v>36198000</v>
      </c>
      <c r="G55" s="152"/>
      <c r="H55" s="171"/>
      <c r="I55" s="21">
        <f>G54/F53</f>
        <v>1.0327762215997511</v>
      </c>
      <c r="J55" s="22" t="s">
        <v>52</v>
      </c>
      <c r="K55" s="12">
        <f t="shared" si="1"/>
        <v>7.558684575700048</v>
      </c>
    </row>
    <row r="56" spans="1:17" x14ac:dyDescent="0.25">
      <c r="A56" s="148"/>
      <c r="B56" s="14">
        <v>3</v>
      </c>
      <c r="C56" s="15"/>
      <c r="D56" s="16"/>
      <c r="E56" s="17"/>
      <c r="F56" s="15">
        <f>I8</f>
        <v>41428333.333333336</v>
      </c>
      <c r="G56" s="152"/>
      <c r="H56" s="171"/>
      <c r="I56" s="18"/>
      <c r="J56" s="20"/>
      <c r="K56" s="12">
        <f t="shared" si="1"/>
        <v>7.6172974619322291</v>
      </c>
    </row>
    <row r="57" spans="1:17" x14ac:dyDescent="0.25">
      <c r="A57" s="148" t="s">
        <v>749</v>
      </c>
      <c r="B57" s="14">
        <v>1</v>
      </c>
      <c r="C57" s="65"/>
      <c r="D57" s="17"/>
      <c r="E57" s="15"/>
      <c r="F57" s="65">
        <f>I39</f>
        <v>588</v>
      </c>
      <c r="G57" s="145">
        <f>AVERAGE(F57:F61)</f>
        <v>118.4</v>
      </c>
      <c r="H57" s="147">
        <f>STDEV(F57:F61)</f>
        <v>262.5143805584753</v>
      </c>
      <c r="J57" s="11"/>
      <c r="K57" s="12">
        <f t="shared" si="1"/>
        <v>2.7693773260761385</v>
      </c>
    </row>
    <row r="58" spans="1:17" x14ac:dyDescent="0.25">
      <c r="A58" s="148"/>
      <c r="B58" s="14">
        <v>2</v>
      </c>
      <c r="C58" s="65"/>
      <c r="D58" s="17"/>
      <c r="E58" s="15"/>
      <c r="F58" s="65">
        <v>1</v>
      </c>
      <c r="G58" s="162"/>
      <c r="H58" s="164"/>
      <c r="J58" s="11"/>
      <c r="K58" s="12">
        <f t="shared" si="1"/>
        <v>0</v>
      </c>
    </row>
    <row r="59" spans="1:17" x14ac:dyDescent="0.25">
      <c r="A59" s="148"/>
      <c r="B59" s="14">
        <v>3</v>
      </c>
      <c r="C59" s="65"/>
      <c r="D59" s="17"/>
      <c r="E59" s="15"/>
      <c r="F59" s="65">
        <v>1</v>
      </c>
      <c r="G59" s="162"/>
      <c r="H59" s="164"/>
      <c r="J59" s="11"/>
      <c r="K59" s="12">
        <f t="shared" si="1"/>
        <v>0</v>
      </c>
    </row>
    <row r="60" spans="1:17" x14ac:dyDescent="0.25">
      <c r="A60" s="148"/>
      <c r="B60" s="14">
        <v>4</v>
      </c>
      <c r="C60" s="65"/>
      <c r="D60" s="17"/>
      <c r="E60" s="15"/>
      <c r="F60" s="65">
        <v>1</v>
      </c>
      <c r="G60" s="162"/>
      <c r="H60" s="164"/>
      <c r="J60" s="11"/>
      <c r="K60" s="12">
        <f t="shared" si="1"/>
        <v>0</v>
      </c>
    </row>
    <row r="61" spans="1:17" x14ac:dyDescent="0.25">
      <c r="A61" s="148"/>
      <c r="B61" s="14">
        <v>5</v>
      </c>
      <c r="C61" s="65"/>
      <c r="D61" s="17"/>
      <c r="E61" s="15"/>
      <c r="F61" s="65">
        <v>1</v>
      </c>
      <c r="G61" s="163"/>
      <c r="H61" s="165"/>
      <c r="J61" s="11"/>
      <c r="K61" s="12">
        <f t="shared" si="1"/>
        <v>0</v>
      </c>
    </row>
    <row r="63" spans="1:17" x14ac:dyDescent="0.25">
      <c r="K63" s="24" t="s">
        <v>778</v>
      </c>
    </row>
    <row r="64" spans="1:17" x14ac:dyDescent="0.25">
      <c r="F64" s="24" t="s">
        <v>775</v>
      </c>
    </row>
    <row r="65" spans="1:7" x14ac:dyDescent="0.25">
      <c r="F65" s="23" t="s">
        <v>776</v>
      </c>
      <c r="G65" s="12"/>
    </row>
    <row r="66" spans="1:7" x14ac:dyDescent="0.25">
      <c r="F66" s="23" t="s">
        <v>777</v>
      </c>
    </row>
    <row r="68" spans="1:7" x14ac:dyDescent="0.25">
      <c r="B68" s="11" t="s">
        <v>808</v>
      </c>
      <c r="C68" s="11" t="s">
        <v>810</v>
      </c>
      <c r="D68" s="12" t="s">
        <v>809</v>
      </c>
    </row>
    <row r="69" spans="1:7" x14ac:dyDescent="0.25">
      <c r="A69" t="s">
        <v>799</v>
      </c>
      <c r="B69" s="11">
        <f>LOG(F54)</f>
        <v>7.5183033217933017</v>
      </c>
      <c r="C69" s="12">
        <f>AVERAGE(B69:B71)</f>
        <v>7.5647617864751924</v>
      </c>
      <c r="D69" s="12">
        <f>STDEV(B69:B71)</f>
        <v>4.9776091786776021E-2</v>
      </c>
    </row>
    <row r="70" spans="1:7" x14ac:dyDescent="0.25">
      <c r="B70" s="11">
        <f t="shared" ref="B70:B76" si="2">LOG(F55)</f>
        <v>7.558684575700048</v>
      </c>
      <c r="D70" s="12"/>
    </row>
    <row r="71" spans="1:7" x14ac:dyDescent="0.25">
      <c r="B71" s="11">
        <f t="shared" si="2"/>
        <v>7.6172974619322291</v>
      </c>
      <c r="D71" s="12"/>
    </row>
    <row r="72" spans="1:7" x14ac:dyDescent="0.25">
      <c r="A72" t="s">
        <v>807</v>
      </c>
      <c r="B72" s="11">
        <f t="shared" si="2"/>
        <v>2.7693773260761385</v>
      </c>
      <c r="C72" s="11">
        <f>AVERAGE(B72:B76)</f>
        <v>0.55387546521522768</v>
      </c>
      <c r="D72" s="12">
        <f>STDEV(B72:B76)</f>
        <v>1.2385031912905693</v>
      </c>
    </row>
    <row r="73" spans="1:7" x14ac:dyDescent="0.25">
      <c r="B73" s="11">
        <f t="shared" si="2"/>
        <v>0</v>
      </c>
      <c r="D73" s="12"/>
    </row>
    <row r="74" spans="1:7" x14ac:dyDescent="0.25">
      <c r="B74" s="11">
        <f t="shared" si="2"/>
        <v>0</v>
      </c>
      <c r="D74" s="12"/>
    </row>
    <row r="75" spans="1:7" x14ac:dyDescent="0.25">
      <c r="B75" s="11">
        <f t="shared" si="2"/>
        <v>0</v>
      </c>
      <c r="D75" s="12"/>
    </row>
    <row r="76" spans="1:7" x14ac:dyDescent="0.25">
      <c r="B76" s="11">
        <f t="shared" si="2"/>
        <v>0</v>
      </c>
      <c r="D76" s="12"/>
    </row>
  </sheetData>
  <mergeCells count="7">
    <mergeCell ref="G53:H53"/>
    <mergeCell ref="A54:A56"/>
    <mergeCell ref="G54:G56"/>
    <mergeCell ref="H54:H56"/>
    <mergeCell ref="A57:A61"/>
    <mergeCell ref="G57:G61"/>
    <mergeCell ref="H57:H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workbookViewId="0">
      <selection activeCell="O23" sqref="O23"/>
    </sheetView>
  </sheetViews>
  <sheetFormatPr defaultRowHeight="15" x14ac:dyDescent="0.25"/>
  <cols>
    <col min="1" max="1" width="11.5703125" customWidth="1"/>
    <col min="2" max="2" width="13.28515625" customWidth="1"/>
    <col min="3" max="3" width="16.140625" bestFit="1" customWidth="1"/>
    <col min="4" max="5" width="11" customWidth="1"/>
    <col min="6" max="6" width="7.7109375" bestFit="1" customWidth="1"/>
    <col min="7" max="7" width="9" customWidth="1"/>
    <col min="9" max="9" width="7" bestFit="1" customWidth="1"/>
    <col min="10" max="10" width="12.85546875" customWidth="1"/>
    <col min="11" max="11" width="50.7109375" customWidth="1"/>
    <col min="12" max="12" width="5.28515625" bestFit="1" customWidth="1"/>
  </cols>
  <sheetData>
    <row r="1" spans="1:15" ht="45" customHeight="1" x14ac:dyDescent="0.25">
      <c r="A1" s="122" t="s">
        <v>0</v>
      </c>
      <c r="B1" s="122" t="s">
        <v>1</v>
      </c>
      <c r="C1" s="122" t="s">
        <v>2</v>
      </c>
      <c r="D1" s="120" t="s">
        <v>771</v>
      </c>
      <c r="E1" s="121"/>
      <c r="F1" s="120" t="s">
        <v>770</v>
      </c>
      <c r="G1" s="121"/>
      <c r="H1" s="120" t="s">
        <v>766</v>
      </c>
      <c r="I1" s="121"/>
      <c r="J1" s="122" t="s">
        <v>768</v>
      </c>
      <c r="K1" s="124" t="s">
        <v>772</v>
      </c>
      <c r="L1" s="122" t="s">
        <v>27</v>
      </c>
      <c r="M1" s="4"/>
      <c r="N1" t="s">
        <v>799</v>
      </c>
    </row>
    <row r="2" spans="1:15" x14ac:dyDescent="0.25">
      <c r="A2" s="123"/>
      <c r="B2" s="123"/>
      <c r="C2" s="123"/>
      <c r="D2" s="83" t="s">
        <v>762</v>
      </c>
      <c r="E2" s="83" t="s">
        <v>781</v>
      </c>
      <c r="F2" s="83" t="s">
        <v>762</v>
      </c>
      <c r="G2" s="83" t="s">
        <v>781</v>
      </c>
      <c r="H2" s="83" t="s">
        <v>762</v>
      </c>
      <c r="I2" s="83" t="s">
        <v>767</v>
      </c>
      <c r="J2" s="123"/>
      <c r="K2" s="125"/>
      <c r="L2" s="123"/>
      <c r="M2" s="4"/>
      <c r="N2" s="105" t="s">
        <v>815</v>
      </c>
      <c r="O2" s="105" t="s">
        <v>472</v>
      </c>
    </row>
    <row r="3" spans="1:15" x14ac:dyDescent="0.25">
      <c r="A3" s="117" t="s">
        <v>8</v>
      </c>
      <c r="B3" s="117" t="s">
        <v>769</v>
      </c>
      <c r="C3" s="2" t="s">
        <v>10</v>
      </c>
      <c r="D3" s="71">
        <f>LBC!G45</f>
        <v>162566.66666666666</v>
      </c>
      <c r="E3" s="71">
        <f>LBC!H45</f>
        <v>11493.621419436666</v>
      </c>
      <c r="F3" s="73">
        <f>LBC!G48</f>
        <v>0</v>
      </c>
      <c r="G3" s="2">
        <v>0</v>
      </c>
      <c r="H3" s="71">
        <f>LBC!F44</f>
        <v>241569.99999999997</v>
      </c>
      <c r="I3" s="126">
        <f>STDEV(H3:H8)/AVERAGE(H3:H8)</f>
        <v>0.52570991854565929</v>
      </c>
      <c r="J3" s="84">
        <f>D3/H3</f>
        <v>0.67295883870789697</v>
      </c>
      <c r="K3" s="87" t="s">
        <v>23</v>
      </c>
      <c r="L3" s="3" t="s">
        <v>28</v>
      </c>
      <c r="M3" s="4" t="s">
        <v>41</v>
      </c>
      <c r="N3" s="104">
        <f>LBC!P44</f>
        <v>5.2102902383260004</v>
      </c>
      <c r="O3" s="104">
        <f>LBC!Q44</f>
        <v>1.8048978300117091E-2</v>
      </c>
    </row>
    <row r="4" spans="1:15" x14ac:dyDescent="0.25">
      <c r="A4" s="117"/>
      <c r="B4" s="117"/>
      <c r="C4" s="2" t="s">
        <v>11</v>
      </c>
      <c r="D4" s="71">
        <f>LBS!G45</f>
        <v>91508.888888888876</v>
      </c>
      <c r="E4" s="71">
        <f>LBS!H45</f>
        <v>23928.302473415533</v>
      </c>
      <c r="F4" s="73">
        <f>LBS!G48</f>
        <v>0</v>
      </c>
      <c r="G4" s="72">
        <v>0</v>
      </c>
      <c r="H4" s="71">
        <f>LBS!F44</f>
        <v>185873.33333333334</v>
      </c>
      <c r="I4" s="127"/>
      <c r="J4" s="84">
        <f t="shared" ref="J4:J14" si="0">D4/H4</f>
        <v>0.4923185442894204</v>
      </c>
      <c r="K4" s="87" t="s">
        <v>22</v>
      </c>
      <c r="L4" s="3" t="s">
        <v>29</v>
      </c>
      <c r="M4" s="4" t="s">
        <v>41</v>
      </c>
      <c r="N4" s="104">
        <f>LBS!P44</f>
        <v>4.9518945718216907</v>
      </c>
      <c r="O4" s="104">
        <f>LBS!Q44</f>
        <v>6.3883418566583014E-2</v>
      </c>
    </row>
    <row r="5" spans="1:15" x14ac:dyDescent="0.25">
      <c r="A5" s="117"/>
      <c r="B5" s="117"/>
      <c r="C5" s="2" t="s">
        <v>13</v>
      </c>
      <c r="D5" s="71">
        <f>LBP!G58</f>
        <v>177612.22222222225</v>
      </c>
      <c r="E5" s="71">
        <f>LBP!H58</f>
        <v>4.7484126151988645E-2</v>
      </c>
      <c r="F5" s="73">
        <f>LBP!G61</f>
        <v>0</v>
      </c>
      <c r="G5" s="72">
        <v>0</v>
      </c>
      <c r="H5" s="71">
        <f>LBP!F57</f>
        <v>241569.99999999997</v>
      </c>
      <c r="I5" s="127"/>
      <c r="J5" s="84">
        <f t="shared" si="0"/>
        <v>0.73524122292595218</v>
      </c>
      <c r="K5" s="87" t="s">
        <v>23</v>
      </c>
      <c r="L5" s="3" t="s">
        <v>30</v>
      </c>
      <c r="M5" s="4" t="s">
        <v>41</v>
      </c>
      <c r="N5" s="104">
        <f>LBP!P56</f>
        <v>5.2490600654959687</v>
      </c>
      <c r="O5" s="104">
        <f>LBP!Q56</f>
        <v>8.492740732571346E-3</v>
      </c>
    </row>
    <row r="6" spans="1:15" x14ac:dyDescent="0.25">
      <c r="A6" s="117"/>
      <c r="B6" s="117" t="s">
        <v>14</v>
      </c>
      <c r="C6" s="2" t="s">
        <v>10</v>
      </c>
      <c r="D6" s="71">
        <f>LWC!G46</f>
        <v>42033.333333333336</v>
      </c>
      <c r="E6" s="71">
        <f>LWC!H46</f>
        <v>13004.400964459846</v>
      </c>
      <c r="F6" s="73">
        <f>LWC!G49</f>
        <v>1</v>
      </c>
      <c r="G6" s="72">
        <f>LWC!H49</f>
        <v>0</v>
      </c>
      <c r="H6" s="71">
        <f>LWC!F45</f>
        <v>265500</v>
      </c>
      <c r="I6" s="127"/>
      <c r="J6" s="84">
        <f t="shared" si="0"/>
        <v>0.15831763967357187</v>
      </c>
      <c r="K6" s="87" t="s">
        <v>24</v>
      </c>
      <c r="L6" s="3" t="s">
        <v>31</v>
      </c>
      <c r="M6" s="4" t="s">
        <v>41</v>
      </c>
      <c r="N6" s="104">
        <f>LWC!P44</f>
        <v>4.6101786476205318</v>
      </c>
      <c r="O6" s="104">
        <f>LWC!Q44</f>
        <v>7.56581987095898E-2</v>
      </c>
    </row>
    <row r="7" spans="1:15" x14ac:dyDescent="0.25">
      <c r="A7" s="117"/>
      <c r="B7" s="117"/>
      <c r="C7" s="2" t="s">
        <v>11</v>
      </c>
      <c r="D7" s="71">
        <f>LWS!G46</f>
        <v>67637.777777777766</v>
      </c>
      <c r="E7" s="71">
        <f>LWS!H46</f>
        <v>42414.812052884103</v>
      </c>
      <c r="F7" s="73">
        <f>LWS!G49</f>
        <v>0</v>
      </c>
      <c r="G7" s="72">
        <v>0</v>
      </c>
      <c r="H7" s="71">
        <f>LWS!F45</f>
        <v>560000</v>
      </c>
      <c r="I7" s="127"/>
      <c r="J7" s="84">
        <f>D7/H7</f>
        <v>0.12078174603174602</v>
      </c>
      <c r="K7" s="87" t="s">
        <v>26</v>
      </c>
      <c r="L7" s="3" t="s">
        <v>32</v>
      </c>
      <c r="M7" s="4" t="s">
        <v>41</v>
      </c>
      <c r="N7" s="104">
        <f>LWS!P44</f>
        <v>4.7447766713220503</v>
      </c>
      <c r="O7" s="104">
        <f>LWS!Q44</f>
        <v>0.21185099824634596</v>
      </c>
    </row>
    <row r="8" spans="1:15" ht="15.75" thickBot="1" x14ac:dyDescent="0.3">
      <c r="A8" s="119"/>
      <c r="B8" s="119"/>
      <c r="C8" s="78" t="s">
        <v>13</v>
      </c>
      <c r="D8" s="79">
        <f>LWP!G46</f>
        <v>374677.77777777775</v>
      </c>
      <c r="E8" s="79">
        <f>LWP!H46</f>
        <v>84105.517941144397</v>
      </c>
      <c r="F8" s="80">
        <f>LWP!G49</f>
        <v>1.2</v>
      </c>
      <c r="G8" s="81">
        <f>LWP!H49</f>
        <v>0.44721359549995787</v>
      </c>
      <c r="H8" s="79">
        <f>LWP!F45</f>
        <v>612000</v>
      </c>
      <c r="I8" s="128"/>
      <c r="J8" s="86">
        <f t="shared" si="0"/>
        <v>0.61221859114015975</v>
      </c>
      <c r="K8" s="88" t="s">
        <v>25</v>
      </c>
      <c r="L8" s="82" t="s">
        <v>33</v>
      </c>
      <c r="M8" s="4" t="s">
        <v>41</v>
      </c>
      <c r="N8" s="104">
        <f>LWP!P44</f>
        <v>5.5657764311002476</v>
      </c>
      <c r="O8" s="104">
        <f>LWP!Q44</f>
        <v>5.9611559228272833E-2</v>
      </c>
    </row>
    <row r="9" spans="1:15" ht="23.25" customHeight="1" x14ac:dyDescent="0.25">
      <c r="A9" s="118" t="s">
        <v>15</v>
      </c>
      <c r="B9" s="117" t="s">
        <v>769</v>
      </c>
      <c r="C9" s="75" t="s">
        <v>10</v>
      </c>
      <c r="D9" s="76">
        <f>ABC!G45</f>
        <v>13552555.555555554</v>
      </c>
      <c r="E9" s="76">
        <f>ABC!H45</f>
        <v>2185481.5470720921</v>
      </c>
      <c r="F9" s="76">
        <f>ABC!G48</f>
        <v>47890.133333333331</v>
      </c>
      <c r="G9" s="77">
        <f>ABC!H48</f>
        <v>61676.682873766084</v>
      </c>
      <c r="H9" s="76">
        <f>ABC!F44</f>
        <v>17640000</v>
      </c>
      <c r="I9" s="129">
        <f>STDEV(H9:H14)/AVERAGE(H9:H14)</f>
        <v>0.50666173069360099</v>
      </c>
      <c r="J9" s="85">
        <f t="shared" si="0"/>
        <v>0.76828546233308126</v>
      </c>
      <c r="K9" s="89" t="s">
        <v>19</v>
      </c>
      <c r="L9" s="60" t="s">
        <v>34</v>
      </c>
      <c r="M9" s="4" t="s">
        <v>41</v>
      </c>
      <c r="N9" s="104">
        <f>ABC!P44</f>
        <v>7.128048708385454</v>
      </c>
      <c r="O9" s="104">
        <f>ABC!Q44</f>
        <v>4.2082774652534044E-2</v>
      </c>
    </row>
    <row r="10" spans="1:15" ht="24" customHeight="1" x14ac:dyDescent="0.25">
      <c r="A10" s="117"/>
      <c r="B10" s="117"/>
      <c r="C10" s="2" t="s">
        <v>11</v>
      </c>
      <c r="D10" s="71">
        <f>ABS!G45</f>
        <v>9754111.1111111119</v>
      </c>
      <c r="E10" s="71">
        <f>ABS!H45</f>
        <v>7146769.0161618032</v>
      </c>
      <c r="F10" s="71">
        <f>ABS!G48</f>
        <v>128050.26666666668</v>
      </c>
      <c r="G10" s="74">
        <f>ABS!H48</f>
        <v>129692.50249519697</v>
      </c>
      <c r="H10" s="71">
        <f>ABS!F44</f>
        <v>16154666.666666666</v>
      </c>
      <c r="I10" s="127"/>
      <c r="J10" s="84">
        <f t="shared" si="0"/>
        <v>0.60379525696049308</v>
      </c>
      <c r="K10" s="87" t="s">
        <v>20</v>
      </c>
      <c r="L10" s="3" t="s">
        <v>35</v>
      </c>
      <c r="M10" s="4" t="s">
        <v>41</v>
      </c>
      <c r="N10" s="104">
        <f>ABS!P44</f>
        <v>6.8540139486222822</v>
      </c>
      <c r="O10" s="104">
        <f>ABS!Q44</f>
        <v>0.27627511274888722</v>
      </c>
    </row>
    <row r="11" spans="1:15" ht="24" customHeight="1" x14ac:dyDescent="0.25">
      <c r="A11" s="117"/>
      <c r="B11" s="117"/>
      <c r="C11" s="2" t="s">
        <v>13</v>
      </c>
      <c r="D11" s="71">
        <f>ABP!G45</f>
        <v>22453444.444444448</v>
      </c>
      <c r="E11" s="71">
        <f>ABP!H45</f>
        <v>6497677.7076577423</v>
      </c>
      <c r="F11" s="71">
        <f>ABP!G48</f>
        <v>262614</v>
      </c>
      <c r="G11" s="74">
        <f>ABP!H48</f>
        <v>139043.3887996437</v>
      </c>
      <c r="H11" s="71">
        <f>ABP!F44</f>
        <v>19032000</v>
      </c>
      <c r="I11" s="127"/>
      <c r="J11" s="84">
        <f t="shared" si="0"/>
        <v>1.1797732473961984</v>
      </c>
      <c r="K11" s="87" t="s">
        <v>21</v>
      </c>
      <c r="L11" s="3" t="s">
        <v>36</v>
      </c>
      <c r="M11" s="4" t="s">
        <v>41</v>
      </c>
      <c r="N11" s="104">
        <f>ABP!P44</f>
        <v>7.3377150347361662</v>
      </c>
      <c r="O11" s="104">
        <f>ABP!Q44</f>
        <v>7.8863918583797987E-2</v>
      </c>
    </row>
    <row r="12" spans="1:15" x14ac:dyDescent="0.25">
      <c r="A12" s="117"/>
      <c r="B12" s="117" t="s">
        <v>14</v>
      </c>
      <c r="C12" s="2" t="s">
        <v>10</v>
      </c>
      <c r="D12" s="71">
        <f>AWC!G55</f>
        <v>17450000</v>
      </c>
      <c r="E12" s="71">
        <f>AWC!H55</f>
        <v>8439739.0954934154</v>
      </c>
      <c r="F12" s="72">
        <f>AWC!G58</f>
        <v>1483.4633333333334</v>
      </c>
      <c r="G12" s="74">
        <f>AWC!H58</f>
        <v>3202.0439005249273</v>
      </c>
      <c r="H12" s="71">
        <f>AWC!F54</f>
        <v>35700000</v>
      </c>
      <c r="I12" s="127"/>
      <c r="J12" s="84">
        <f t="shared" si="0"/>
        <v>0.4887955182072829</v>
      </c>
      <c r="K12" s="87" t="s">
        <v>17</v>
      </c>
      <c r="L12" s="3" t="s">
        <v>37</v>
      </c>
      <c r="M12" s="4" t="s">
        <v>41</v>
      </c>
      <c r="N12" s="104">
        <f>AWC!P54</f>
        <v>7.2105733135538204</v>
      </c>
      <c r="O12" s="104">
        <f>AWC!Q54</f>
        <v>0.11357640727698076</v>
      </c>
    </row>
    <row r="13" spans="1:15" x14ac:dyDescent="0.25">
      <c r="A13" s="117"/>
      <c r="B13" s="117"/>
      <c r="C13" s="2" t="s">
        <v>11</v>
      </c>
      <c r="D13" s="71">
        <f>AWS!G45</f>
        <v>5181011.111111111</v>
      </c>
      <c r="E13" s="71">
        <f>AWS!H45</f>
        <v>5046979.2638031766</v>
      </c>
      <c r="F13" s="72">
        <f>AWS!G48</f>
        <v>187.68</v>
      </c>
      <c r="G13" s="74">
        <f>AWS!H48</f>
        <v>279.69739362389487</v>
      </c>
      <c r="H13" s="71">
        <f>AWS!F44</f>
        <v>8268000</v>
      </c>
      <c r="I13" s="127"/>
      <c r="J13" s="84">
        <f t="shared" si="0"/>
        <v>0.6266341450303714</v>
      </c>
      <c r="K13" s="87" t="s">
        <v>18</v>
      </c>
      <c r="L13" s="3" t="s">
        <v>38</v>
      </c>
      <c r="M13" s="4" t="s">
        <v>41</v>
      </c>
      <c r="N13" s="104">
        <f>AWS!P44</f>
        <v>6.5842128277346852</v>
      </c>
      <c r="O13" s="104">
        <f>AWS!Q44</f>
        <v>0.22878294321688544</v>
      </c>
    </row>
    <row r="14" spans="1:15" x14ac:dyDescent="0.25">
      <c r="A14" s="117"/>
      <c r="B14" s="117"/>
      <c r="C14" s="2" t="s">
        <v>13</v>
      </c>
      <c r="D14" s="71">
        <f>AWP!G54</f>
        <v>36870111.111111112</v>
      </c>
      <c r="E14" s="71">
        <f>AWP!H54</f>
        <v>4262099.4087855788</v>
      </c>
      <c r="F14" s="72">
        <f>AWP!G57</f>
        <v>118.4</v>
      </c>
      <c r="G14" s="74">
        <f>AWP!H57</f>
        <v>262.5143805584753</v>
      </c>
      <c r="H14" s="71">
        <f>AWP!F53</f>
        <v>35700000</v>
      </c>
      <c r="I14" s="130"/>
      <c r="J14" s="84">
        <f t="shared" si="0"/>
        <v>1.0327762215997511</v>
      </c>
      <c r="K14" s="87" t="s">
        <v>17</v>
      </c>
      <c r="L14" s="3" t="s">
        <v>39</v>
      </c>
      <c r="M14" s="4" t="s">
        <v>41</v>
      </c>
      <c r="N14" s="104">
        <f>AWP!P53</f>
        <v>7.5647617864751924</v>
      </c>
      <c r="O14" s="104">
        <f>AWP!Q53</f>
        <v>2.8738239992302655E-2</v>
      </c>
    </row>
    <row r="18" spans="1:5" x14ac:dyDescent="0.25">
      <c r="B18" t="s">
        <v>8</v>
      </c>
      <c r="C18" t="s">
        <v>812</v>
      </c>
      <c r="D18" t="s">
        <v>813</v>
      </c>
      <c r="E18" t="s">
        <v>814</v>
      </c>
    </row>
    <row r="19" spans="1:5" x14ac:dyDescent="0.25">
      <c r="A19" t="s">
        <v>811</v>
      </c>
      <c r="B19" s="27">
        <f>AVERAGE(H3:H8)</f>
        <v>351085.5555555555</v>
      </c>
      <c r="C19" s="27">
        <f>STDEV(H3:H8)</f>
        <v>184569.15881366862</v>
      </c>
      <c r="D19" s="27">
        <f>AVERAGE(H9:H14)</f>
        <v>22082444.444444444</v>
      </c>
      <c r="E19" s="27">
        <f>STDEV(H9:H14)</f>
        <v>11188329.520167517</v>
      </c>
    </row>
  </sheetData>
  <mergeCells count="17">
    <mergeCell ref="K1:K2"/>
    <mergeCell ref="L1:L2"/>
    <mergeCell ref="J1:J2"/>
    <mergeCell ref="I3:I8"/>
    <mergeCell ref="I9:I14"/>
    <mergeCell ref="D1:E1"/>
    <mergeCell ref="F1:G1"/>
    <mergeCell ref="H1:I1"/>
    <mergeCell ref="A1:A2"/>
    <mergeCell ref="B1:B2"/>
    <mergeCell ref="C1:C2"/>
    <mergeCell ref="B12:B14"/>
    <mergeCell ref="A9:A14"/>
    <mergeCell ref="B9:B11"/>
    <mergeCell ref="B6:B8"/>
    <mergeCell ref="A3:A8"/>
    <mergeCell ref="B3:B5"/>
  </mergeCells>
  <pageMargins left="0.7" right="0.7" top="0.75" bottom="0.75" header="0.3" footer="0.3"/>
  <pageSetup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7"/>
  <sheetViews>
    <sheetView workbookViewId="0">
      <selection activeCell="G7" sqref="G7"/>
    </sheetView>
  </sheetViews>
  <sheetFormatPr defaultRowHeight="15" x14ac:dyDescent="0.25"/>
  <cols>
    <col min="1" max="1" width="11" customWidth="1"/>
    <col min="2" max="2" width="13.28515625" customWidth="1"/>
    <col min="3" max="3" width="16.140625" bestFit="1" customWidth="1"/>
    <col min="4" max="4" width="7" customWidth="1"/>
    <col min="5" max="5" width="3.28515625" customWidth="1"/>
    <col min="6" max="14" width="7" customWidth="1"/>
    <col min="16" max="17" width="4.5703125" bestFit="1" customWidth="1"/>
    <col min="21" max="21" width="16.140625" customWidth="1"/>
  </cols>
  <sheetData>
    <row r="2" spans="1:15" ht="48.75" customHeight="1" x14ac:dyDescent="0.25">
      <c r="A2" s="94" t="s">
        <v>784</v>
      </c>
      <c r="B2" s="94" t="s">
        <v>1</v>
      </c>
      <c r="C2" s="94" t="s">
        <v>783</v>
      </c>
      <c r="D2" s="132" t="s">
        <v>801</v>
      </c>
      <c r="E2" s="133"/>
      <c r="F2" s="133"/>
      <c r="G2" s="131" t="s">
        <v>802</v>
      </c>
      <c r="H2" s="131"/>
      <c r="I2" s="108"/>
      <c r="J2" s="108"/>
      <c r="K2" s="108"/>
      <c r="L2" s="108"/>
      <c r="M2" s="108"/>
      <c r="N2" s="108"/>
    </row>
    <row r="3" spans="1:15" ht="15" customHeight="1" x14ac:dyDescent="0.25">
      <c r="A3" s="117" t="s">
        <v>8</v>
      </c>
      <c r="B3" s="117" t="s">
        <v>769</v>
      </c>
      <c r="C3" s="110" t="s">
        <v>758</v>
      </c>
      <c r="D3" s="111">
        <f>LBC!M44</f>
        <v>5.2102902383260004</v>
      </c>
      <c r="E3" s="112" t="s">
        <v>787</v>
      </c>
      <c r="F3" s="111">
        <f>LBC!N44</f>
        <v>1.8048978300117091E-2</v>
      </c>
      <c r="G3" s="113">
        <f>'Data Summary'!N3</f>
        <v>5.2102902383260004</v>
      </c>
      <c r="H3" s="113">
        <f>'Data Summary'!O3</f>
        <v>1.8048978300117091E-2</v>
      </c>
      <c r="I3" s="105"/>
      <c r="J3" s="105"/>
      <c r="K3" s="109"/>
      <c r="L3" s="109"/>
      <c r="M3" s="109"/>
      <c r="N3" s="109"/>
    </row>
    <row r="4" spans="1:15" x14ac:dyDescent="0.25">
      <c r="A4" s="117"/>
      <c r="B4" s="117"/>
      <c r="C4" s="110" t="s">
        <v>761</v>
      </c>
      <c r="D4" s="111">
        <f>LBS!M44</f>
        <v>4.9518945718216916</v>
      </c>
      <c r="E4" s="112" t="s">
        <v>787</v>
      </c>
      <c r="F4" s="111">
        <f>LBS!N44</f>
        <v>6.3883418566583014E-2</v>
      </c>
      <c r="G4" s="113">
        <f>'Data Summary'!N4</f>
        <v>4.9518945718216907</v>
      </c>
      <c r="H4" s="113">
        <f>'Data Summary'!O4</f>
        <v>6.3883418566583014E-2</v>
      </c>
      <c r="I4" s="109"/>
      <c r="J4" s="109"/>
      <c r="K4" s="109"/>
      <c r="L4" s="109"/>
      <c r="M4" s="109"/>
      <c r="N4" s="109"/>
    </row>
    <row r="5" spans="1:15" x14ac:dyDescent="0.25">
      <c r="A5" s="117"/>
      <c r="B5" s="117"/>
      <c r="C5" s="110" t="s">
        <v>764</v>
      </c>
      <c r="D5" s="111">
        <f>LBP!M57</f>
        <v>5.2490600654959687</v>
      </c>
      <c r="E5" s="112" t="s">
        <v>787</v>
      </c>
      <c r="F5" s="111">
        <f>LBP!N57</f>
        <v>8.492740732571346E-3</v>
      </c>
      <c r="G5" s="113">
        <f>'Data Summary'!N5</f>
        <v>5.2490600654959687</v>
      </c>
      <c r="H5" s="113">
        <f>'Data Summary'!O5</f>
        <v>8.492740732571346E-3</v>
      </c>
      <c r="I5" s="109"/>
      <c r="J5" s="109"/>
      <c r="K5" s="109"/>
      <c r="L5" s="109"/>
      <c r="M5" s="109"/>
      <c r="N5" s="109"/>
    </row>
    <row r="6" spans="1:15" ht="15" customHeight="1" x14ac:dyDescent="0.25">
      <c r="A6" s="117"/>
      <c r="B6" s="117" t="s">
        <v>14</v>
      </c>
      <c r="C6" s="110" t="s">
        <v>758</v>
      </c>
      <c r="D6" s="111">
        <f>LWC!M45</f>
        <v>4.6101786476205318</v>
      </c>
      <c r="E6" s="112" t="s">
        <v>787</v>
      </c>
      <c r="F6" s="111">
        <f>LWC!N45</f>
        <v>7.56581987095898E-2</v>
      </c>
      <c r="G6" s="113">
        <f>'Data Summary'!N6</f>
        <v>4.6101786476205318</v>
      </c>
      <c r="H6" s="113">
        <f>'Data Summary'!O6</f>
        <v>7.56581987095898E-2</v>
      </c>
      <c r="I6" s="109"/>
      <c r="J6" s="109"/>
      <c r="K6" s="109"/>
      <c r="L6" s="109"/>
      <c r="M6" s="109"/>
      <c r="N6" s="109"/>
    </row>
    <row r="7" spans="1:15" x14ac:dyDescent="0.25">
      <c r="A7" s="117"/>
      <c r="B7" s="117"/>
      <c r="C7" s="110" t="s">
        <v>761</v>
      </c>
      <c r="D7" s="111">
        <f>LWS!M45</f>
        <v>4.7447766713220503</v>
      </c>
      <c r="E7" s="112" t="s">
        <v>787</v>
      </c>
      <c r="F7" s="111">
        <f>LWS!N45</f>
        <v>0.21185099824634596</v>
      </c>
      <c r="G7" s="113">
        <f>'Data Summary'!N7</f>
        <v>4.7447766713220503</v>
      </c>
      <c r="H7" s="113">
        <f>'Data Summary'!O7</f>
        <v>0.21185099824634596</v>
      </c>
      <c r="I7" s="109"/>
      <c r="J7" s="109"/>
      <c r="K7" s="109"/>
      <c r="L7" s="109"/>
      <c r="M7" s="109"/>
      <c r="N7" s="109"/>
    </row>
    <row r="8" spans="1:15" x14ac:dyDescent="0.25">
      <c r="A8" s="117"/>
      <c r="B8" s="117"/>
      <c r="C8" s="110" t="s">
        <v>764</v>
      </c>
      <c r="D8" s="111">
        <f>LWP!M45</f>
        <v>5.5055704319674525</v>
      </c>
      <c r="E8" s="112" t="s">
        <v>787</v>
      </c>
      <c r="F8" s="111">
        <f>LWP!N45</f>
        <v>8.4724850694493065E-2</v>
      </c>
      <c r="G8" s="113">
        <f>'Data Summary'!N8</f>
        <v>5.5657764311002476</v>
      </c>
      <c r="H8" s="113">
        <f>'Data Summary'!O8</f>
        <v>5.9611559228272833E-2</v>
      </c>
      <c r="I8" s="109"/>
      <c r="J8" s="109"/>
      <c r="K8" s="109"/>
      <c r="L8" s="109"/>
      <c r="M8" s="109"/>
      <c r="N8" s="109"/>
    </row>
    <row r="10" spans="1:15" ht="35.25" customHeight="1" x14ac:dyDescent="0.25">
      <c r="A10" s="94" t="s">
        <v>784</v>
      </c>
      <c r="B10" s="94" t="s">
        <v>1</v>
      </c>
      <c r="C10" s="94" t="s">
        <v>783</v>
      </c>
      <c r="D10" s="132" t="s">
        <v>793</v>
      </c>
      <c r="E10" s="133"/>
      <c r="F10" s="133"/>
      <c r="G10" s="134" t="s">
        <v>803</v>
      </c>
      <c r="H10" s="134"/>
      <c r="I10" s="108"/>
      <c r="J10" s="108"/>
      <c r="K10" s="108"/>
      <c r="L10" s="108"/>
      <c r="M10" s="108"/>
      <c r="N10" s="108"/>
    </row>
    <row r="11" spans="1:15" ht="15" customHeight="1" x14ac:dyDescent="0.25">
      <c r="A11" s="117" t="s">
        <v>15</v>
      </c>
      <c r="B11" s="117" t="s">
        <v>769</v>
      </c>
      <c r="C11" s="110" t="s">
        <v>758</v>
      </c>
      <c r="D11" s="111">
        <f>ABC!M44</f>
        <v>2.6806415143987632</v>
      </c>
      <c r="E11" s="112" t="s">
        <v>787</v>
      </c>
      <c r="F11" s="111">
        <f>ABC!N44</f>
        <v>0.21397417478136352</v>
      </c>
      <c r="G11" s="113">
        <f>'Data Summary'!N9</f>
        <v>7.128048708385454</v>
      </c>
      <c r="H11" s="113">
        <f>'Data Summary'!O9</f>
        <v>4.2082774652534044E-2</v>
      </c>
      <c r="I11" s="109"/>
      <c r="J11" s="109"/>
      <c r="K11" s="109"/>
      <c r="L11" s="109"/>
      <c r="M11" s="109"/>
      <c r="N11" s="109"/>
    </row>
    <row r="12" spans="1:15" x14ac:dyDescent="0.25">
      <c r="A12" s="117"/>
      <c r="B12" s="117"/>
      <c r="C12" s="110" t="s">
        <v>761</v>
      </c>
      <c r="D12" s="111">
        <f>ABS!M44</f>
        <v>2.0293944710003897</v>
      </c>
      <c r="E12" s="112" t="s">
        <v>787</v>
      </c>
      <c r="F12" s="111">
        <f>ABS!N44</f>
        <v>0.39371487153692991</v>
      </c>
      <c r="G12" s="113">
        <f>'Data Summary'!N10</f>
        <v>6.8540139486222822</v>
      </c>
      <c r="H12" s="113">
        <f>'Data Summary'!O10</f>
        <v>0.27627511274888722</v>
      </c>
      <c r="I12" s="109"/>
      <c r="J12" s="109"/>
      <c r="K12" s="109"/>
      <c r="L12" s="109"/>
      <c r="M12" s="109"/>
      <c r="N12" s="109"/>
    </row>
    <row r="13" spans="1:15" x14ac:dyDescent="0.25">
      <c r="A13" s="117"/>
      <c r="B13" s="117"/>
      <c r="C13" s="110" t="s">
        <v>764</v>
      </c>
      <c r="D13" s="111">
        <f>ABP!M44</f>
        <v>1.9647190200690909</v>
      </c>
      <c r="E13" s="112" t="s">
        <v>787</v>
      </c>
      <c r="F13" s="111">
        <f>ABP!N44</f>
        <v>0.12667751485357634</v>
      </c>
      <c r="G13" s="113">
        <f>'Data Summary'!N11</f>
        <v>7.3377150347361662</v>
      </c>
      <c r="H13" s="113">
        <f>'Data Summary'!O11</f>
        <v>7.8863918583797987E-2</v>
      </c>
      <c r="I13" s="109"/>
      <c r="J13" s="109"/>
      <c r="K13" s="109"/>
      <c r="L13" s="109"/>
      <c r="M13" s="109"/>
      <c r="N13" s="109"/>
    </row>
    <row r="14" spans="1:15" ht="15" customHeight="1" x14ac:dyDescent="0.25">
      <c r="A14" s="117"/>
      <c r="B14" s="117" t="s">
        <v>14</v>
      </c>
      <c r="C14" s="110" t="s">
        <v>758</v>
      </c>
      <c r="D14" s="111">
        <f>AWC!M54</f>
        <v>5.6392412453332854</v>
      </c>
      <c r="E14" s="112" t="s">
        <v>787</v>
      </c>
      <c r="F14" s="111">
        <f>AWC!N54</f>
        <v>0.73518427328761482</v>
      </c>
      <c r="G14" s="113">
        <f>'Data Summary'!N12</f>
        <v>7.2105733135538204</v>
      </c>
      <c r="H14" s="113">
        <f>'Data Summary'!O12</f>
        <v>0.11357640727698076</v>
      </c>
      <c r="I14" s="109"/>
      <c r="J14" s="109"/>
      <c r="K14" s="109"/>
      <c r="L14" s="109"/>
      <c r="M14" s="109"/>
      <c r="N14" s="109"/>
    </row>
    <row r="15" spans="1:15" x14ac:dyDescent="0.25">
      <c r="A15" s="117"/>
      <c r="B15" s="117"/>
      <c r="C15" s="110" t="s">
        <v>761</v>
      </c>
      <c r="D15" s="111">
        <f>AWS!M44</f>
        <v>4.8651190195485983</v>
      </c>
      <c r="E15" s="112" t="s">
        <v>787</v>
      </c>
      <c r="F15" s="111">
        <f>AWS!N44</f>
        <v>0.51905672064566721</v>
      </c>
      <c r="G15" s="113">
        <f>'Data Summary'!N13</f>
        <v>6.5842128277346852</v>
      </c>
      <c r="H15" s="113">
        <f>'Data Summary'!O13</f>
        <v>0.22878294321688544</v>
      </c>
      <c r="I15" s="109"/>
      <c r="J15" s="109"/>
      <c r="K15" s="109"/>
      <c r="L15" s="109"/>
      <c r="M15" s="109"/>
      <c r="N15" s="109"/>
    </row>
    <row r="16" spans="1:15" x14ac:dyDescent="0.25">
      <c r="A16" s="117"/>
      <c r="B16" s="117"/>
      <c r="C16" s="110" t="s">
        <v>764</v>
      </c>
      <c r="D16" s="111">
        <f>AWP!M53</f>
        <v>7.0108863212599655</v>
      </c>
      <c r="E16" s="112" t="s">
        <v>787</v>
      </c>
      <c r="F16" s="111">
        <f>AWP!N53</f>
        <v>0.55462051657438727</v>
      </c>
      <c r="G16" s="113">
        <f>'Data Summary'!N14</f>
        <v>7.5647617864751924</v>
      </c>
      <c r="H16" s="113">
        <f>'Data Summary'!O14</f>
        <v>2.8738239992302655E-2</v>
      </c>
      <c r="I16" s="109"/>
      <c r="J16" s="109"/>
      <c r="K16" s="109"/>
      <c r="L16" s="109"/>
      <c r="M16" s="109"/>
      <c r="N16" s="109"/>
      <c r="O16">
        <f>14*14</f>
        <v>196</v>
      </c>
    </row>
    <row r="19" spans="1:21" x14ac:dyDescent="0.25">
      <c r="A19" s="93" t="s">
        <v>805</v>
      </c>
      <c r="B19" s="93"/>
      <c r="C19" s="93"/>
    </row>
    <row r="20" spans="1:21" x14ac:dyDescent="0.25">
      <c r="A20" s="93" t="s">
        <v>804</v>
      </c>
      <c r="B20" s="93"/>
      <c r="C20" s="93"/>
    </row>
    <row r="21" spans="1:21" x14ac:dyDescent="0.25">
      <c r="A21" s="99" t="s">
        <v>794</v>
      </c>
      <c r="B21" s="93"/>
      <c r="C21" s="93"/>
    </row>
    <row r="22" spans="1:21" ht="18" x14ac:dyDescent="0.25">
      <c r="A22" s="93" t="s">
        <v>790</v>
      </c>
      <c r="B22" s="93"/>
      <c r="C22" s="93"/>
    </row>
    <row r="23" spans="1:21" ht="18" x14ac:dyDescent="0.25">
      <c r="A23" s="93" t="s">
        <v>791</v>
      </c>
      <c r="B23" s="93"/>
      <c r="C23" s="93"/>
    </row>
    <row r="28" spans="1:21" x14ac:dyDescent="0.25">
      <c r="U28" s="107" t="s">
        <v>758</v>
      </c>
    </row>
    <row r="29" spans="1:21" x14ac:dyDescent="0.25">
      <c r="U29" s="107" t="s">
        <v>761</v>
      </c>
    </row>
    <row r="30" spans="1:21" x14ac:dyDescent="0.25">
      <c r="U30" s="107" t="s">
        <v>764</v>
      </c>
    </row>
    <row r="32" spans="1:21" ht="15" customHeight="1" x14ac:dyDescent="0.25"/>
    <row r="33" spans="18:21" x14ac:dyDescent="0.25">
      <c r="U33" t="s">
        <v>801</v>
      </c>
    </row>
    <row r="34" spans="18:21" ht="15" customHeight="1" x14ac:dyDescent="0.25">
      <c r="U34" t="s">
        <v>802</v>
      </c>
    </row>
    <row r="36" spans="18:21" ht="15" customHeight="1" x14ac:dyDescent="0.25"/>
    <row r="37" spans="18:21" x14ac:dyDescent="0.25">
      <c r="R37" s="107"/>
    </row>
  </sheetData>
  <mergeCells count="10">
    <mergeCell ref="G10:H10"/>
    <mergeCell ref="B14:B16"/>
    <mergeCell ref="D10:F10"/>
    <mergeCell ref="A11:A16"/>
    <mergeCell ref="B11:B13"/>
    <mergeCell ref="B6:B8"/>
    <mergeCell ref="G2:H2"/>
    <mergeCell ref="D2:F2"/>
    <mergeCell ref="A3:A8"/>
    <mergeCell ref="B3:B5"/>
  </mergeCells>
  <pageMargins left="0.7" right="0.7" top="0.75" bottom="0.75" header="0.3" footer="0.3"/>
  <pageSetup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workbookViewId="0">
      <selection activeCell="L3" sqref="L3"/>
    </sheetView>
  </sheetViews>
  <sheetFormatPr defaultRowHeight="15" x14ac:dyDescent="0.25"/>
  <cols>
    <col min="1" max="1" width="11" customWidth="1"/>
    <col min="2" max="2" width="13.28515625" customWidth="1"/>
    <col min="3" max="3" width="16.140625" bestFit="1" customWidth="1"/>
    <col min="4" max="4" width="16.140625" customWidth="1"/>
    <col min="5" max="5" width="7.7109375" bestFit="1" customWidth="1"/>
    <col min="6" max="6" width="3.28515625" customWidth="1"/>
    <col min="7" max="7" width="8.140625" customWidth="1"/>
    <col min="8" max="8" width="7" customWidth="1"/>
    <col min="9" max="9" width="3.28515625" customWidth="1"/>
    <col min="10" max="10" width="7" customWidth="1"/>
    <col min="12" max="13" width="4.5703125" bestFit="1" customWidth="1"/>
    <col min="17" max="17" width="16.140625" customWidth="1"/>
  </cols>
  <sheetData>
    <row r="1" spans="1:17" x14ac:dyDescent="0.25">
      <c r="L1" s="143" t="s">
        <v>799</v>
      </c>
      <c r="M1" s="143"/>
    </row>
    <row r="2" spans="1:17" ht="34.5" customHeight="1" x14ac:dyDescent="0.25">
      <c r="A2" s="94" t="s">
        <v>784</v>
      </c>
      <c r="B2" s="94" t="s">
        <v>1</v>
      </c>
      <c r="C2" s="94" t="s">
        <v>783</v>
      </c>
      <c r="D2" s="94" t="s">
        <v>782</v>
      </c>
      <c r="E2" s="132" t="s">
        <v>788</v>
      </c>
      <c r="F2" s="133"/>
      <c r="G2" s="133"/>
      <c r="H2" s="132" t="s">
        <v>793</v>
      </c>
      <c r="I2" s="133"/>
      <c r="J2" s="133"/>
      <c r="L2" s="105" t="s">
        <v>800</v>
      </c>
      <c r="M2" s="105" t="s">
        <v>472</v>
      </c>
    </row>
    <row r="3" spans="1:17" ht="18" x14ac:dyDescent="0.25">
      <c r="A3" s="135" t="s">
        <v>8</v>
      </c>
      <c r="B3" s="135" t="s">
        <v>769</v>
      </c>
      <c r="C3" s="135" t="s">
        <v>758</v>
      </c>
      <c r="D3" s="102" t="s">
        <v>785</v>
      </c>
      <c r="E3" s="95">
        <f>LBC!G45</f>
        <v>162566.66666666666</v>
      </c>
      <c r="F3" s="100" t="s">
        <v>787</v>
      </c>
      <c r="G3" s="96">
        <f>LBC!H45</f>
        <v>11493.621419436666</v>
      </c>
      <c r="H3" s="137">
        <f>LBC!M44</f>
        <v>5.2102902383260004</v>
      </c>
      <c r="I3" s="139" t="s">
        <v>787</v>
      </c>
      <c r="J3" s="141">
        <f>LBC!N44</f>
        <v>1.8048978300117091E-2</v>
      </c>
      <c r="L3" s="104">
        <f>'Data Summary'!N3</f>
        <v>5.2102902383260004</v>
      </c>
      <c r="M3" s="104">
        <f>'Data Summary'!O3</f>
        <v>1.8048978300117091E-2</v>
      </c>
    </row>
    <row r="4" spans="1:17" ht="18" x14ac:dyDescent="0.25">
      <c r="A4" s="136"/>
      <c r="B4" s="136"/>
      <c r="C4" s="118"/>
      <c r="D4" s="102" t="s">
        <v>786</v>
      </c>
      <c r="E4" s="95" t="str">
        <f>IF(LBC!G48=0,"≥ 0",LBC!G48)</f>
        <v>≥ 0</v>
      </c>
      <c r="F4" s="101" t="s">
        <v>787</v>
      </c>
      <c r="G4" s="96" t="str">
        <f>IF(LBC!H48=0,"≥ 0",LBC!H48)</f>
        <v>≥ 0</v>
      </c>
      <c r="H4" s="138"/>
      <c r="I4" s="140"/>
      <c r="J4" s="142"/>
      <c r="K4" s="104"/>
      <c r="Q4" t="str">
        <f>IF(LBC!G48=0,"≥ 0",LBC!G48)</f>
        <v>≥ 0</v>
      </c>
    </row>
    <row r="5" spans="1:17" x14ac:dyDescent="0.25">
      <c r="A5" s="136"/>
      <c r="B5" s="136"/>
      <c r="C5" s="135" t="s">
        <v>761</v>
      </c>
      <c r="D5" s="102" t="s">
        <v>796</v>
      </c>
      <c r="E5" s="97">
        <f>LBS!G45</f>
        <v>91508.888888888876</v>
      </c>
      <c r="F5" s="101" t="s">
        <v>787</v>
      </c>
      <c r="G5" s="98">
        <f>LBS!H45</f>
        <v>23928.302473415533</v>
      </c>
      <c r="H5" s="137">
        <f>LBS!M44</f>
        <v>4.9518945718216916</v>
      </c>
      <c r="I5" s="139" t="s">
        <v>787</v>
      </c>
      <c r="J5" s="141">
        <f>LBS!N44</f>
        <v>6.3883418566583014E-2</v>
      </c>
      <c r="L5" s="104">
        <f>'Data Summary'!N4</f>
        <v>4.9518945718216907</v>
      </c>
      <c r="M5" s="104">
        <f>'Data Summary'!O4</f>
        <v>6.3883418566583014E-2</v>
      </c>
    </row>
    <row r="6" spans="1:17" x14ac:dyDescent="0.25">
      <c r="A6" s="136"/>
      <c r="B6" s="136"/>
      <c r="C6" s="118"/>
      <c r="D6" s="102" t="s">
        <v>795</v>
      </c>
      <c r="E6" s="97" t="str">
        <f>IF(LBS!G48=0,"≥ 0",LBS!G48)</f>
        <v>≥ 0</v>
      </c>
      <c r="F6" s="101" t="s">
        <v>787</v>
      </c>
      <c r="G6" s="98" t="str">
        <f>IF(LBS!H48=0,"≥ 0",LBS!H48)</f>
        <v>≥ 0</v>
      </c>
      <c r="H6" s="138"/>
      <c r="I6" s="140"/>
      <c r="J6" s="142"/>
    </row>
    <row r="7" spans="1:17" x14ac:dyDescent="0.25">
      <c r="A7" s="136"/>
      <c r="B7" s="136"/>
      <c r="C7" s="135" t="s">
        <v>764</v>
      </c>
      <c r="D7" s="102" t="s">
        <v>796</v>
      </c>
      <c r="E7" s="97">
        <f>LBP!G58</f>
        <v>177612.22222222225</v>
      </c>
      <c r="F7" s="101" t="s">
        <v>787</v>
      </c>
      <c r="G7" s="98">
        <f>LBP!H58</f>
        <v>4.7484126151988645E-2</v>
      </c>
      <c r="H7" s="137">
        <f>LBP!M57</f>
        <v>5.2490600654959687</v>
      </c>
      <c r="I7" s="139" t="s">
        <v>787</v>
      </c>
      <c r="J7" s="141">
        <f>LBP!N57</f>
        <v>8.492740732571346E-3</v>
      </c>
      <c r="L7" s="104">
        <f>'Data Summary'!N5</f>
        <v>5.2490600654959687</v>
      </c>
      <c r="M7" s="104">
        <f>'Data Summary'!O5</f>
        <v>8.492740732571346E-3</v>
      </c>
    </row>
    <row r="8" spans="1:17" x14ac:dyDescent="0.25">
      <c r="A8" s="136"/>
      <c r="B8" s="118"/>
      <c r="C8" s="118"/>
      <c r="D8" s="102" t="s">
        <v>795</v>
      </c>
      <c r="E8" s="97" t="str">
        <f>IF(LBP!G61=0,"≥ 0",LBP!G61)</f>
        <v>≥ 0</v>
      </c>
      <c r="F8" s="101" t="s">
        <v>787</v>
      </c>
      <c r="G8" s="98" t="str">
        <f>IF(LBP!H61=0,"≥ 0",LBP!H61)</f>
        <v>≥ 0</v>
      </c>
      <c r="H8" s="138"/>
      <c r="I8" s="140"/>
      <c r="J8" s="142"/>
    </row>
    <row r="9" spans="1:17" x14ac:dyDescent="0.25">
      <c r="A9" s="136"/>
      <c r="B9" s="135" t="s">
        <v>14</v>
      </c>
      <c r="C9" s="135" t="s">
        <v>758</v>
      </c>
      <c r="D9" s="102" t="s">
        <v>796</v>
      </c>
      <c r="E9" s="97">
        <f>LWC!G46</f>
        <v>42033.333333333336</v>
      </c>
      <c r="F9" s="101" t="s">
        <v>787</v>
      </c>
      <c r="G9" s="98">
        <f>LWC!H46</f>
        <v>13004.400964459846</v>
      </c>
      <c r="H9" s="137">
        <f>LWC!M45</f>
        <v>4.6101786476205318</v>
      </c>
      <c r="I9" s="139" t="s">
        <v>787</v>
      </c>
      <c r="J9" s="141">
        <f>LWC!N45</f>
        <v>7.56581987095898E-2</v>
      </c>
      <c r="L9" s="104">
        <f>'Data Summary'!N6</f>
        <v>4.6101786476205318</v>
      </c>
      <c r="M9" s="104">
        <f>'Data Summary'!O6</f>
        <v>7.56581987095898E-2</v>
      </c>
    </row>
    <row r="10" spans="1:17" x14ac:dyDescent="0.25">
      <c r="A10" s="136"/>
      <c r="B10" s="136"/>
      <c r="C10" s="118"/>
      <c r="D10" s="102" t="s">
        <v>795</v>
      </c>
      <c r="E10" s="114">
        <f>IF(LWC!G49=0,"≥ 0",LWC!G49)</f>
        <v>1</v>
      </c>
      <c r="F10" s="115" t="s">
        <v>787</v>
      </c>
      <c r="G10" s="116" t="str">
        <f>IF(LWC!H49=0,"≥ 0",LWC!H49)</f>
        <v>≥ 0</v>
      </c>
      <c r="H10" s="138"/>
      <c r="I10" s="140"/>
      <c r="J10" s="142"/>
    </row>
    <row r="11" spans="1:17" x14ac:dyDescent="0.25">
      <c r="A11" s="136"/>
      <c r="B11" s="136"/>
      <c r="C11" s="135" t="s">
        <v>761</v>
      </c>
      <c r="D11" s="102" t="s">
        <v>796</v>
      </c>
      <c r="E11" s="97">
        <f>LWS!G46</f>
        <v>67637.777777777766</v>
      </c>
      <c r="F11" s="101" t="s">
        <v>787</v>
      </c>
      <c r="G11" s="98">
        <f>LWS!H46</f>
        <v>42414.812052884103</v>
      </c>
      <c r="H11" s="137">
        <f>LWS!M45</f>
        <v>4.7447766713220503</v>
      </c>
      <c r="I11" s="139" t="s">
        <v>787</v>
      </c>
      <c r="J11" s="141">
        <f>LWS!N45</f>
        <v>0.21185099824634596</v>
      </c>
      <c r="L11" s="104">
        <f>'Data Summary'!N7</f>
        <v>4.7447766713220503</v>
      </c>
      <c r="M11" s="104">
        <f>'Data Summary'!O7</f>
        <v>0.21185099824634596</v>
      </c>
    </row>
    <row r="12" spans="1:17" x14ac:dyDescent="0.25">
      <c r="A12" s="136"/>
      <c r="B12" s="136"/>
      <c r="C12" s="118"/>
      <c r="D12" s="102" t="s">
        <v>795</v>
      </c>
      <c r="E12" s="97" t="str">
        <f>IF(LWS!G49=0,"≥ 0",LWS!G49)</f>
        <v>≥ 0</v>
      </c>
      <c r="F12" s="101" t="s">
        <v>787</v>
      </c>
      <c r="G12" s="98" t="str">
        <f>IF(LWS!H49=0,"≥ 0",LWS!H49)</f>
        <v>≥ 0</v>
      </c>
      <c r="H12" s="138"/>
      <c r="I12" s="140"/>
      <c r="J12" s="142"/>
    </row>
    <row r="13" spans="1:17" x14ac:dyDescent="0.25">
      <c r="A13" s="136"/>
      <c r="B13" s="136"/>
      <c r="C13" s="135" t="s">
        <v>764</v>
      </c>
      <c r="D13" s="102" t="s">
        <v>796</v>
      </c>
      <c r="E13" s="97">
        <f>LWP!G46</f>
        <v>374677.77777777775</v>
      </c>
      <c r="F13" s="101" t="s">
        <v>787</v>
      </c>
      <c r="G13" s="98">
        <f>LWP!H46</f>
        <v>84105.517941144397</v>
      </c>
      <c r="H13" s="137">
        <f>LWP!M45</f>
        <v>5.5055704319674525</v>
      </c>
      <c r="I13" s="139" t="s">
        <v>787</v>
      </c>
      <c r="J13" s="141">
        <f>LWP!N45</f>
        <v>8.4724850694493065E-2</v>
      </c>
      <c r="L13" s="104">
        <f>'Data Summary'!N8</f>
        <v>5.5657764311002476</v>
      </c>
      <c r="M13" s="104">
        <f>'Data Summary'!O8</f>
        <v>5.9611559228272833E-2</v>
      </c>
    </row>
    <row r="14" spans="1:17" x14ac:dyDescent="0.25">
      <c r="A14" s="118"/>
      <c r="B14" s="118"/>
      <c r="C14" s="118"/>
      <c r="D14" s="102" t="s">
        <v>795</v>
      </c>
      <c r="E14" s="97" t="s">
        <v>806</v>
      </c>
      <c r="F14" s="101" t="s">
        <v>787</v>
      </c>
      <c r="G14" s="98" t="s">
        <v>806</v>
      </c>
      <c r="H14" s="144"/>
      <c r="I14" s="140"/>
      <c r="J14" s="142"/>
    </row>
    <row r="16" spans="1:17" ht="35.25" customHeight="1" x14ac:dyDescent="0.25">
      <c r="A16" s="94" t="s">
        <v>784</v>
      </c>
      <c r="B16" s="94" t="s">
        <v>1</v>
      </c>
      <c r="C16" s="94" t="s">
        <v>783</v>
      </c>
      <c r="D16" s="94" t="s">
        <v>782</v>
      </c>
      <c r="E16" s="132" t="s">
        <v>788</v>
      </c>
      <c r="F16" s="133"/>
      <c r="G16" s="133"/>
      <c r="H16" s="132" t="s">
        <v>793</v>
      </c>
      <c r="I16" s="133"/>
      <c r="J16" s="133"/>
      <c r="L16" s="104"/>
      <c r="M16" s="104"/>
    </row>
    <row r="17" spans="1:13" x14ac:dyDescent="0.25">
      <c r="A17" s="135" t="s">
        <v>15</v>
      </c>
      <c r="B17" s="135" t="s">
        <v>769</v>
      </c>
      <c r="C17" s="135" t="s">
        <v>758</v>
      </c>
      <c r="D17" s="102" t="s">
        <v>796</v>
      </c>
      <c r="E17" s="97">
        <f>ABC!G45</f>
        <v>13552555.555555554</v>
      </c>
      <c r="F17" s="101" t="s">
        <v>787</v>
      </c>
      <c r="G17" s="98">
        <f>ABC!H45</f>
        <v>2185481.5470720921</v>
      </c>
      <c r="H17" s="137">
        <f>ABC!M44</f>
        <v>2.6806415143987632</v>
      </c>
      <c r="I17" s="139" t="s">
        <v>787</v>
      </c>
      <c r="J17" s="141">
        <f>ABC!N44</f>
        <v>0.21397417478136352</v>
      </c>
      <c r="L17" s="104">
        <f>'Data Summary'!N9</f>
        <v>7.128048708385454</v>
      </c>
      <c r="M17" s="104">
        <f>'Data Summary'!O9</f>
        <v>4.2082774652534044E-2</v>
      </c>
    </row>
    <row r="18" spans="1:13" x14ac:dyDescent="0.25">
      <c r="A18" s="136"/>
      <c r="B18" s="136"/>
      <c r="C18" s="118"/>
      <c r="D18" s="102" t="s">
        <v>795</v>
      </c>
      <c r="E18" s="97">
        <f>ABC!G48</f>
        <v>47890.133333333331</v>
      </c>
      <c r="F18" s="101" t="s">
        <v>787</v>
      </c>
      <c r="G18" s="98">
        <f>ABC!H48</f>
        <v>61676.682873766084</v>
      </c>
      <c r="H18" s="138"/>
      <c r="I18" s="140"/>
      <c r="J18" s="142"/>
      <c r="L18" s="104"/>
      <c r="M18" s="104"/>
    </row>
    <row r="19" spans="1:13" x14ac:dyDescent="0.25">
      <c r="A19" s="136"/>
      <c r="B19" s="136"/>
      <c r="C19" s="135" t="s">
        <v>761</v>
      </c>
      <c r="D19" s="102" t="s">
        <v>796</v>
      </c>
      <c r="E19" s="97">
        <f>ABS!G45</f>
        <v>9754111.1111111119</v>
      </c>
      <c r="F19" s="101" t="s">
        <v>787</v>
      </c>
      <c r="G19" s="98">
        <f>ABS!H45</f>
        <v>7146769.0161618032</v>
      </c>
      <c r="H19" s="137">
        <f>ABS!M44</f>
        <v>2.0293944710003897</v>
      </c>
      <c r="I19" s="139" t="s">
        <v>787</v>
      </c>
      <c r="J19" s="141">
        <f>ABS!N44</f>
        <v>0.39371487153692991</v>
      </c>
      <c r="L19" s="104">
        <f>'Data Summary'!N10</f>
        <v>6.8540139486222822</v>
      </c>
      <c r="M19" s="104">
        <f>'Data Summary'!O10</f>
        <v>0.27627511274888722</v>
      </c>
    </row>
    <row r="20" spans="1:13" x14ac:dyDescent="0.25">
      <c r="A20" s="136"/>
      <c r="B20" s="136"/>
      <c r="C20" s="118"/>
      <c r="D20" s="102" t="s">
        <v>795</v>
      </c>
      <c r="E20" s="97">
        <f>ABS!G48</f>
        <v>128050.26666666668</v>
      </c>
      <c r="F20" s="101" t="s">
        <v>787</v>
      </c>
      <c r="G20" s="98">
        <f>ABS!H48</f>
        <v>129692.50249519697</v>
      </c>
      <c r="H20" s="138"/>
      <c r="I20" s="140"/>
      <c r="J20" s="142"/>
      <c r="L20" s="104"/>
      <c r="M20" s="104"/>
    </row>
    <row r="21" spans="1:13" x14ac:dyDescent="0.25">
      <c r="A21" s="136"/>
      <c r="B21" s="136"/>
      <c r="C21" s="135" t="s">
        <v>764</v>
      </c>
      <c r="D21" s="102" t="s">
        <v>796</v>
      </c>
      <c r="E21" s="97">
        <f>ABP!G45</f>
        <v>22453444.444444448</v>
      </c>
      <c r="F21" s="101" t="s">
        <v>787</v>
      </c>
      <c r="G21" s="98">
        <f>ABP!H45</f>
        <v>6497677.7076577423</v>
      </c>
      <c r="H21" s="137">
        <f>ABP!M44</f>
        <v>1.9647190200690909</v>
      </c>
      <c r="I21" s="139" t="s">
        <v>787</v>
      </c>
      <c r="J21" s="141">
        <f>ABP!N44</f>
        <v>0.12667751485357634</v>
      </c>
      <c r="L21" s="104">
        <f>'Data Summary'!N11</f>
        <v>7.3377150347361662</v>
      </c>
      <c r="M21" s="104">
        <f>'Data Summary'!O11</f>
        <v>7.8863918583797987E-2</v>
      </c>
    </row>
    <row r="22" spans="1:13" x14ac:dyDescent="0.25">
      <c r="A22" s="136"/>
      <c r="B22" s="118"/>
      <c r="C22" s="118"/>
      <c r="D22" s="102" t="s">
        <v>795</v>
      </c>
      <c r="E22" s="97">
        <f>ABP!G48</f>
        <v>262614</v>
      </c>
      <c r="F22" s="101" t="s">
        <v>787</v>
      </c>
      <c r="G22" s="98">
        <f>ABP!H48</f>
        <v>139043.3887996437</v>
      </c>
      <c r="H22" s="138"/>
      <c r="I22" s="140"/>
      <c r="J22" s="142"/>
      <c r="L22" s="104"/>
      <c r="M22" s="104"/>
    </row>
    <row r="23" spans="1:13" x14ac:dyDescent="0.25">
      <c r="A23" s="136"/>
      <c r="B23" s="135" t="s">
        <v>14</v>
      </c>
      <c r="C23" s="135" t="s">
        <v>758</v>
      </c>
      <c r="D23" s="102" t="s">
        <v>796</v>
      </c>
      <c r="E23" s="97">
        <f>AWC!G55</f>
        <v>17450000</v>
      </c>
      <c r="F23" s="101" t="s">
        <v>787</v>
      </c>
      <c r="G23" s="98">
        <f>AWC!H55</f>
        <v>8439739.0954934154</v>
      </c>
      <c r="H23" s="137">
        <f>AWC!M54</f>
        <v>5.6392412453332854</v>
      </c>
      <c r="I23" s="139" t="s">
        <v>787</v>
      </c>
      <c r="J23" s="141">
        <f>AWC!N54</f>
        <v>0.73518427328761482</v>
      </c>
      <c r="L23" s="104">
        <f>'Data Summary'!N12</f>
        <v>7.2105733135538204</v>
      </c>
      <c r="M23" s="104">
        <f>'Data Summary'!O12</f>
        <v>0.11357640727698076</v>
      </c>
    </row>
    <row r="24" spans="1:13" x14ac:dyDescent="0.25">
      <c r="A24" s="136"/>
      <c r="B24" s="136"/>
      <c r="C24" s="118"/>
      <c r="D24" s="102" t="s">
        <v>795</v>
      </c>
      <c r="E24" s="97">
        <f>AWC!G58</f>
        <v>1483.4633333333334</v>
      </c>
      <c r="F24" s="101" t="s">
        <v>787</v>
      </c>
      <c r="G24" s="98">
        <f>AWC!H58</f>
        <v>3202.0439005249273</v>
      </c>
      <c r="H24" s="138"/>
      <c r="I24" s="140"/>
      <c r="J24" s="142"/>
      <c r="L24" s="104"/>
      <c r="M24" s="104"/>
    </row>
    <row r="25" spans="1:13" x14ac:dyDescent="0.25">
      <c r="A25" s="136"/>
      <c r="B25" s="136"/>
      <c r="C25" s="135" t="s">
        <v>761</v>
      </c>
      <c r="D25" s="102" t="s">
        <v>796</v>
      </c>
      <c r="E25" s="97">
        <f>AWS!G45</f>
        <v>5181011.111111111</v>
      </c>
      <c r="F25" s="101" t="s">
        <v>787</v>
      </c>
      <c r="G25" s="98">
        <f>AWS!H45</f>
        <v>5046979.2638031766</v>
      </c>
      <c r="H25" s="137">
        <f>AWS!M44</f>
        <v>4.8651190195485983</v>
      </c>
      <c r="I25" s="139" t="s">
        <v>787</v>
      </c>
      <c r="J25" s="141">
        <f>AWS!N44</f>
        <v>0.51905672064566721</v>
      </c>
      <c r="L25" s="104">
        <f>'Data Summary'!N13</f>
        <v>6.5842128277346852</v>
      </c>
      <c r="M25" s="104">
        <f>'Data Summary'!O13</f>
        <v>0.22878294321688544</v>
      </c>
    </row>
    <row r="26" spans="1:13" x14ac:dyDescent="0.25">
      <c r="A26" s="136"/>
      <c r="B26" s="136"/>
      <c r="C26" s="118"/>
      <c r="D26" s="102" t="s">
        <v>795</v>
      </c>
      <c r="E26" s="97">
        <f>AWS!G48</f>
        <v>187.68</v>
      </c>
      <c r="F26" s="101" t="s">
        <v>787</v>
      </c>
      <c r="G26" s="98">
        <f>AWS!H48</f>
        <v>279.69739362389487</v>
      </c>
      <c r="H26" s="138"/>
      <c r="I26" s="140"/>
      <c r="J26" s="142"/>
      <c r="L26" s="104"/>
      <c r="M26" s="104"/>
    </row>
    <row r="27" spans="1:13" x14ac:dyDescent="0.25">
      <c r="A27" s="136"/>
      <c r="B27" s="136"/>
      <c r="C27" s="135" t="s">
        <v>764</v>
      </c>
      <c r="D27" s="102" t="s">
        <v>796</v>
      </c>
      <c r="E27" s="97">
        <f>AWP!G54</f>
        <v>36870111.111111112</v>
      </c>
      <c r="F27" s="101" t="s">
        <v>787</v>
      </c>
      <c r="G27" s="98">
        <f>AWP!H54</f>
        <v>4262099.4087855788</v>
      </c>
      <c r="H27" s="137">
        <f>AWP!M53</f>
        <v>7.0108863212599655</v>
      </c>
      <c r="I27" s="139" t="s">
        <v>787</v>
      </c>
      <c r="J27" s="141">
        <f>AWP!N53</f>
        <v>0.55462051657438727</v>
      </c>
      <c r="L27" s="104">
        <f>'Data Summary'!N14</f>
        <v>7.5647617864751924</v>
      </c>
      <c r="M27" s="104">
        <f>'Data Summary'!O14</f>
        <v>2.8738239992302655E-2</v>
      </c>
    </row>
    <row r="28" spans="1:13" x14ac:dyDescent="0.25">
      <c r="A28" s="118"/>
      <c r="B28" s="118"/>
      <c r="C28" s="118"/>
      <c r="D28" s="102" t="s">
        <v>795</v>
      </c>
      <c r="E28" s="97">
        <f>AWP!G57</f>
        <v>118.4</v>
      </c>
      <c r="F28" s="101" t="s">
        <v>787</v>
      </c>
      <c r="G28" s="98">
        <f>AWP!H57</f>
        <v>262.5143805584753</v>
      </c>
      <c r="H28" s="138"/>
      <c r="I28" s="140"/>
      <c r="J28" s="142"/>
      <c r="L28" s="104"/>
      <c r="M28" s="104"/>
    </row>
    <row r="30" spans="1:13" x14ac:dyDescent="0.25">
      <c r="D30" s="93"/>
    </row>
    <row r="31" spans="1:13" ht="18" x14ac:dyDescent="0.25">
      <c r="A31" s="93" t="s">
        <v>789</v>
      </c>
      <c r="B31" s="93"/>
      <c r="C31" s="93"/>
      <c r="D31" s="93"/>
    </row>
    <row r="32" spans="1:13" ht="18" x14ac:dyDescent="0.25">
      <c r="A32" s="93" t="s">
        <v>792</v>
      </c>
      <c r="B32" s="93"/>
      <c r="C32" s="93"/>
      <c r="D32" s="93"/>
    </row>
    <row r="33" spans="1:14" x14ac:dyDescent="0.25">
      <c r="A33" s="99" t="s">
        <v>794</v>
      </c>
      <c r="B33" s="93"/>
      <c r="C33" s="93"/>
      <c r="D33" s="93"/>
    </row>
    <row r="34" spans="1:14" ht="18" x14ac:dyDescent="0.25">
      <c r="A34" s="93" t="s">
        <v>790</v>
      </c>
      <c r="B34" s="93"/>
      <c r="C34" s="93"/>
      <c r="D34" s="93"/>
    </row>
    <row r="35" spans="1:14" ht="18" x14ac:dyDescent="0.25">
      <c r="A35" s="93" t="s">
        <v>791</v>
      </c>
      <c r="B35" s="93"/>
      <c r="C35" s="93"/>
      <c r="D35" s="93"/>
    </row>
    <row r="44" spans="1:14" ht="15" customHeight="1" x14ac:dyDescent="0.25"/>
    <row r="45" spans="1:14" x14ac:dyDescent="0.25">
      <c r="N45" s="107"/>
    </row>
    <row r="46" spans="1:14" ht="15" customHeight="1" x14ac:dyDescent="0.25">
      <c r="N46" s="107"/>
    </row>
    <row r="47" spans="1:14" x14ac:dyDescent="0.25">
      <c r="N47" s="107"/>
    </row>
    <row r="48" spans="1:14" ht="15" customHeight="1" x14ac:dyDescent="0.25"/>
    <row r="49" spans="14:14" x14ac:dyDescent="0.25">
      <c r="N49" s="107"/>
    </row>
  </sheetData>
  <mergeCells count="59">
    <mergeCell ref="L1:M1"/>
    <mergeCell ref="H16:J16"/>
    <mergeCell ref="H25:H26"/>
    <mergeCell ref="I25:I26"/>
    <mergeCell ref="J25:J26"/>
    <mergeCell ref="H17:H18"/>
    <mergeCell ref="I17:I18"/>
    <mergeCell ref="J17:J18"/>
    <mergeCell ref="H19:H20"/>
    <mergeCell ref="I19:I20"/>
    <mergeCell ref="J19:J20"/>
    <mergeCell ref="H11:H12"/>
    <mergeCell ref="I11:I12"/>
    <mergeCell ref="J11:J12"/>
    <mergeCell ref="H13:H14"/>
    <mergeCell ref="I13:I14"/>
    <mergeCell ref="H27:H28"/>
    <mergeCell ref="I27:I28"/>
    <mergeCell ref="J27:J28"/>
    <mergeCell ref="H21:H22"/>
    <mergeCell ref="I21:I22"/>
    <mergeCell ref="J21:J22"/>
    <mergeCell ref="H23:H24"/>
    <mergeCell ref="I23:I24"/>
    <mergeCell ref="J23:J24"/>
    <mergeCell ref="J13:J14"/>
    <mergeCell ref="H7:H8"/>
    <mergeCell ref="I7:I8"/>
    <mergeCell ref="J7:J8"/>
    <mergeCell ref="H9:H10"/>
    <mergeCell ref="I9:I10"/>
    <mergeCell ref="J9:J10"/>
    <mergeCell ref="H2:J2"/>
    <mergeCell ref="H3:H4"/>
    <mergeCell ref="I3:I4"/>
    <mergeCell ref="J3:J4"/>
    <mergeCell ref="H5:H6"/>
    <mergeCell ref="I5:I6"/>
    <mergeCell ref="J5:J6"/>
    <mergeCell ref="B3:B8"/>
    <mergeCell ref="B9:B14"/>
    <mergeCell ref="B17:B22"/>
    <mergeCell ref="B23:B28"/>
    <mergeCell ref="A3:A14"/>
    <mergeCell ref="A17:A28"/>
    <mergeCell ref="C27:C28"/>
    <mergeCell ref="E2:G2"/>
    <mergeCell ref="C3:C4"/>
    <mergeCell ref="C5:C6"/>
    <mergeCell ref="C7:C8"/>
    <mergeCell ref="C9:C10"/>
    <mergeCell ref="C11:C12"/>
    <mergeCell ref="C13:C14"/>
    <mergeCell ref="C17:C18"/>
    <mergeCell ref="C19:C20"/>
    <mergeCell ref="C21:C22"/>
    <mergeCell ref="C23:C24"/>
    <mergeCell ref="C25:C26"/>
    <mergeCell ref="E16:G16"/>
  </mergeCells>
  <pageMargins left="0.7" right="0.7" top="0.75" bottom="0.75" header="0.3" footer="0.3"/>
  <pageSetup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topLeftCell="A29" workbookViewId="0">
      <selection activeCell="K47" sqref="K47"/>
    </sheetView>
  </sheetViews>
  <sheetFormatPr defaultRowHeight="15" x14ac:dyDescent="0.25"/>
  <cols>
    <col min="1" max="1" width="18.140625" bestFit="1" customWidth="1"/>
    <col min="2" max="2" width="9.140625" style="11"/>
    <col min="3" max="3" width="12.7109375" style="11" customWidth="1"/>
    <col min="4" max="4" width="9.140625" style="12"/>
    <col min="5" max="5" width="9.140625" style="23"/>
    <col min="6" max="6" width="9.140625" style="11"/>
    <col min="7" max="7" width="9.140625" style="24"/>
    <col min="8" max="8" width="9.140625" style="12"/>
    <col min="9" max="10" width="9.140625" style="11"/>
    <col min="11" max="12" width="9.140625" style="12"/>
    <col min="13" max="13" width="9.140625" style="11"/>
    <col min="14" max="14" width="13.28515625" style="11" customWidth="1"/>
    <col min="15" max="20" width="9.140625" style="11"/>
    <col min="21" max="22" width="9.140625" style="12"/>
    <col min="23" max="23" width="9.140625" style="24"/>
    <col min="24" max="24" width="21.42578125" customWidth="1"/>
  </cols>
  <sheetData>
    <row r="1" spans="2:25" x14ac:dyDescent="0.25">
      <c r="B1" s="28" t="s">
        <v>56</v>
      </c>
      <c r="C1" s="28" t="s">
        <v>57</v>
      </c>
      <c r="D1" s="29" t="s">
        <v>58</v>
      </c>
      <c r="E1" s="30" t="s">
        <v>59</v>
      </c>
      <c r="F1" s="28" t="s">
        <v>60</v>
      </c>
      <c r="G1" s="31" t="s">
        <v>61</v>
      </c>
      <c r="H1" s="29" t="s">
        <v>62</v>
      </c>
      <c r="I1" s="28" t="s">
        <v>63</v>
      </c>
      <c r="J1" s="28" t="s">
        <v>64</v>
      </c>
      <c r="K1" s="29" t="s">
        <v>65</v>
      </c>
      <c r="L1" s="29" t="s">
        <v>66</v>
      </c>
      <c r="M1" s="28" t="s">
        <v>67</v>
      </c>
      <c r="N1" s="28" t="s">
        <v>68</v>
      </c>
      <c r="O1" s="28" t="s">
        <v>69</v>
      </c>
      <c r="P1" s="28" t="s">
        <v>70</v>
      </c>
      <c r="Q1" s="28" t="s">
        <v>71</v>
      </c>
      <c r="R1" s="28" t="s">
        <v>72</v>
      </c>
      <c r="S1" s="28" t="s">
        <v>73</v>
      </c>
      <c r="T1" s="28" t="s">
        <v>74</v>
      </c>
      <c r="U1" s="29" t="s">
        <v>75</v>
      </c>
      <c r="V1" s="29" t="s">
        <v>76</v>
      </c>
      <c r="W1" s="31" t="s">
        <v>77</v>
      </c>
      <c r="X1" s="32" t="s">
        <v>78</v>
      </c>
      <c r="Y1" s="32" t="s">
        <v>79</v>
      </c>
    </row>
    <row r="2" spans="2:25" s="33" customFormat="1" x14ac:dyDescent="0.25">
      <c r="B2" s="11" t="s">
        <v>80</v>
      </c>
      <c r="C2" s="11" t="s">
        <v>81</v>
      </c>
      <c r="D2" s="12">
        <v>1</v>
      </c>
      <c r="E2" s="23">
        <v>42000</v>
      </c>
      <c r="F2" s="11" t="s">
        <v>82</v>
      </c>
      <c r="G2" s="24">
        <v>210</v>
      </c>
      <c r="H2" s="12">
        <v>2.0371572190558007</v>
      </c>
      <c r="I2" s="11" t="s">
        <v>83</v>
      </c>
      <c r="J2" s="11" t="s">
        <v>84</v>
      </c>
      <c r="K2" s="12">
        <v>1</v>
      </c>
      <c r="L2" s="12">
        <v>10</v>
      </c>
      <c r="M2" s="11" t="s">
        <v>85</v>
      </c>
      <c r="N2" s="11" t="s">
        <v>86</v>
      </c>
      <c r="O2" s="11" t="s">
        <v>87</v>
      </c>
      <c r="P2" s="11" t="s">
        <v>88</v>
      </c>
      <c r="Q2" s="11" t="s">
        <v>89</v>
      </c>
      <c r="R2" s="11" t="s">
        <v>90</v>
      </c>
      <c r="S2" s="11" t="s">
        <v>83</v>
      </c>
      <c r="T2" s="11" t="s">
        <v>82</v>
      </c>
      <c r="U2" s="12">
        <v>0.05</v>
      </c>
      <c r="V2" s="12">
        <v>0</v>
      </c>
      <c r="W2" s="24">
        <v>30</v>
      </c>
      <c r="X2" s="33" t="s">
        <v>91</v>
      </c>
      <c r="Y2" s="33" t="s">
        <v>92</v>
      </c>
    </row>
    <row r="3" spans="2:25" x14ac:dyDescent="0.25">
      <c r="B3" s="11" t="s">
        <v>93</v>
      </c>
      <c r="C3" s="11" t="s">
        <v>94</v>
      </c>
      <c r="D3" s="12">
        <v>1</v>
      </c>
      <c r="E3" s="23">
        <v>49900</v>
      </c>
      <c r="F3" s="11" t="s">
        <v>82</v>
      </c>
      <c r="G3" s="24">
        <v>216</v>
      </c>
      <c r="H3" s="12">
        <v>1.9809169277389398</v>
      </c>
      <c r="I3" s="11" t="s">
        <v>83</v>
      </c>
      <c r="J3" s="11" t="s">
        <v>84</v>
      </c>
      <c r="K3" s="12">
        <v>1</v>
      </c>
      <c r="L3" s="12">
        <v>10</v>
      </c>
      <c r="M3" s="11" t="s">
        <v>85</v>
      </c>
      <c r="N3" s="11" t="s">
        <v>86</v>
      </c>
      <c r="O3" s="11" t="s">
        <v>87</v>
      </c>
      <c r="P3" s="11" t="s">
        <v>88</v>
      </c>
      <c r="Q3" s="11" t="s">
        <v>89</v>
      </c>
      <c r="R3" s="11" t="s">
        <v>90</v>
      </c>
      <c r="S3" s="11" t="s">
        <v>83</v>
      </c>
      <c r="T3" s="11" t="s">
        <v>82</v>
      </c>
      <c r="U3" s="12">
        <v>0.05</v>
      </c>
      <c r="V3" s="12">
        <v>0</v>
      </c>
      <c r="W3" s="24">
        <v>30</v>
      </c>
      <c r="X3" t="s">
        <v>95</v>
      </c>
      <c r="Y3" t="s">
        <v>92</v>
      </c>
    </row>
    <row r="4" spans="2:25" x14ac:dyDescent="0.25">
      <c r="B4" s="11" t="s">
        <v>96</v>
      </c>
      <c r="C4" s="11" t="s">
        <v>97</v>
      </c>
      <c r="D4" s="12">
        <v>1</v>
      </c>
      <c r="E4" s="23">
        <v>50200</v>
      </c>
      <c r="F4" s="11" t="s">
        <v>82</v>
      </c>
      <c r="G4" s="24">
        <v>222</v>
      </c>
      <c r="H4" s="12">
        <v>1.946641745481327</v>
      </c>
      <c r="I4" s="11" t="s">
        <v>83</v>
      </c>
      <c r="J4" s="11" t="s">
        <v>84</v>
      </c>
      <c r="K4" s="12">
        <v>1</v>
      </c>
      <c r="L4" s="12">
        <v>10</v>
      </c>
      <c r="M4" s="11" t="s">
        <v>85</v>
      </c>
      <c r="N4" s="11" t="s">
        <v>86</v>
      </c>
      <c r="O4" s="11" t="s">
        <v>87</v>
      </c>
      <c r="P4" s="11" t="s">
        <v>88</v>
      </c>
      <c r="Q4" s="11" t="s">
        <v>89</v>
      </c>
      <c r="R4" s="11" t="s">
        <v>90</v>
      </c>
      <c r="S4" s="11" t="s">
        <v>83</v>
      </c>
      <c r="T4" s="11" t="s">
        <v>82</v>
      </c>
      <c r="U4" s="12">
        <v>0.05</v>
      </c>
      <c r="V4" s="12">
        <v>0</v>
      </c>
      <c r="W4" s="24">
        <v>30</v>
      </c>
      <c r="X4" t="s">
        <v>98</v>
      </c>
      <c r="Y4" t="s">
        <v>92</v>
      </c>
    </row>
    <row r="5" spans="2:25" x14ac:dyDescent="0.25">
      <c r="B5" s="11" t="s">
        <v>99</v>
      </c>
      <c r="C5" s="11" t="s">
        <v>100</v>
      </c>
      <c r="D5" s="12" t="s">
        <v>101</v>
      </c>
      <c r="E5" s="23">
        <f>AVERAGE(E2:E4)</f>
        <v>47366.666666666664</v>
      </c>
      <c r="G5" s="24" t="s">
        <v>102</v>
      </c>
      <c r="H5" s="12">
        <f>STDEV(E2:E4)/AVERAGE(E2:E4)*100</f>
        <v>9.8172194332261036</v>
      </c>
    </row>
    <row r="6" spans="2:25" x14ac:dyDescent="0.25">
      <c r="B6" s="11" t="s">
        <v>103</v>
      </c>
      <c r="C6" s="11" t="s">
        <v>104</v>
      </c>
      <c r="D6" s="12">
        <v>1</v>
      </c>
      <c r="E6" s="23">
        <v>39400</v>
      </c>
      <c r="F6" s="11" t="s">
        <v>82</v>
      </c>
      <c r="G6" s="24">
        <v>197</v>
      </c>
      <c r="H6" s="12">
        <v>1.9967444357585473</v>
      </c>
      <c r="I6" s="11" t="s">
        <v>83</v>
      </c>
      <c r="J6" s="11" t="s">
        <v>84</v>
      </c>
      <c r="K6" s="12">
        <v>1</v>
      </c>
      <c r="L6" s="12">
        <v>10</v>
      </c>
      <c r="M6" s="11" t="s">
        <v>85</v>
      </c>
      <c r="N6" s="11" t="s">
        <v>86</v>
      </c>
      <c r="O6" s="11" t="s">
        <v>87</v>
      </c>
      <c r="P6" s="11" t="s">
        <v>88</v>
      </c>
      <c r="Q6" s="11" t="s">
        <v>89</v>
      </c>
      <c r="R6" s="11" t="s">
        <v>90</v>
      </c>
      <c r="S6" s="11" t="s">
        <v>83</v>
      </c>
      <c r="T6" s="11" t="s">
        <v>82</v>
      </c>
      <c r="U6" s="12">
        <v>0.05</v>
      </c>
      <c r="V6" s="12">
        <v>0</v>
      </c>
      <c r="W6" s="24">
        <v>30</v>
      </c>
      <c r="X6" t="s">
        <v>105</v>
      </c>
      <c r="Y6" t="s">
        <v>92</v>
      </c>
    </row>
    <row r="7" spans="2:25" x14ac:dyDescent="0.25">
      <c r="B7" s="11" t="s">
        <v>106</v>
      </c>
      <c r="C7" s="11" t="s">
        <v>107</v>
      </c>
      <c r="D7" s="12">
        <v>1</v>
      </c>
      <c r="E7" s="23">
        <v>29400</v>
      </c>
      <c r="F7" s="11" t="s">
        <v>82</v>
      </c>
      <c r="G7" s="24">
        <v>147</v>
      </c>
      <c r="H7" s="12">
        <v>2.0527822410435363</v>
      </c>
      <c r="I7" s="11" t="s">
        <v>83</v>
      </c>
      <c r="J7" s="11" t="s">
        <v>84</v>
      </c>
      <c r="K7" s="12">
        <v>1</v>
      </c>
      <c r="L7" s="12">
        <v>10</v>
      </c>
      <c r="M7" s="11" t="s">
        <v>85</v>
      </c>
      <c r="N7" s="11" t="s">
        <v>86</v>
      </c>
      <c r="O7" s="11" t="s">
        <v>87</v>
      </c>
      <c r="P7" s="11" t="s">
        <v>88</v>
      </c>
      <c r="Q7" s="11" t="s">
        <v>89</v>
      </c>
      <c r="R7" s="11" t="s">
        <v>90</v>
      </c>
      <c r="S7" s="11" t="s">
        <v>83</v>
      </c>
      <c r="T7" s="11" t="s">
        <v>82</v>
      </c>
      <c r="U7" s="12">
        <v>0.05</v>
      </c>
      <c r="V7" s="12">
        <v>0</v>
      </c>
      <c r="W7" s="24">
        <v>30</v>
      </c>
      <c r="X7" t="s">
        <v>108</v>
      </c>
      <c r="Y7" t="s">
        <v>92</v>
      </c>
    </row>
    <row r="8" spans="2:25" x14ac:dyDescent="0.25">
      <c r="B8" s="11" t="s">
        <v>109</v>
      </c>
      <c r="C8" s="11" t="s">
        <v>110</v>
      </c>
      <c r="D8" s="12">
        <v>1</v>
      </c>
      <c r="E8" s="23">
        <v>36200</v>
      </c>
      <c r="F8" s="11" t="s">
        <v>82</v>
      </c>
      <c r="G8" s="24">
        <v>181</v>
      </c>
      <c r="H8" s="12">
        <v>1.9724021394942277</v>
      </c>
      <c r="I8" s="11" t="s">
        <v>83</v>
      </c>
      <c r="J8" s="11" t="s">
        <v>84</v>
      </c>
      <c r="K8" s="12">
        <v>1</v>
      </c>
      <c r="L8" s="12">
        <v>10</v>
      </c>
      <c r="M8" s="11" t="s">
        <v>85</v>
      </c>
      <c r="N8" s="11" t="s">
        <v>86</v>
      </c>
      <c r="O8" s="11" t="s">
        <v>87</v>
      </c>
      <c r="P8" s="11" t="s">
        <v>88</v>
      </c>
      <c r="Q8" s="11" t="s">
        <v>89</v>
      </c>
      <c r="R8" s="11" t="s">
        <v>90</v>
      </c>
      <c r="S8" s="11" t="s">
        <v>83</v>
      </c>
      <c r="T8" s="11" t="s">
        <v>82</v>
      </c>
      <c r="U8" s="12">
        <v>0.05</v>
      </c>
      <c r="V8" s="12">
        <v>0</v>
      </c>
      <c r="W8" s="24">
        <v>30</v>
      </c>
      <c r="X8" t="s">
        <v>111</v>
      </c>
      <c r="Y8" t="s">
        <v>92</v>
      </c>
    </row>
    <row r="9" spans="2:25" x14ac:dyDescent="0.25">
      <c r="B9" s="11" t="s">
        <v>112</v>
      </c>
      <c r="C9" s="11" t="s">
        <v>113</v>
      </c>
      <c r="D9" s="12" t="s">
        <v>101</v>
      </c>
      <c r="E9" s="23">
        <f>AVERAGE(E6:E8)</f>
        <v>35000</v>
      </c>
      <c r="G9" s="24" t="s">
        <v>102</v>
      </c>
      <c r="H9" s="12">
        <f>STDEV(E6:E8)/AVERAGE(E6:E8)*100</f>
        <v>14.591023239775661</v>
      </c>
    </row>
    <row r="10" spans="2:25" x14ac:dyDescent="0.25">
      <c r="B10" s="11" t="s">
        <v>114</v>
      </c>
      <c r="C10" s="11" t="s">
        <v>115</v>
      </c>
      <c r="D10" s="12">
        <v>1</v>
      </c>
      <c r="E10" s="23">
        <v>38600</v>
      </c>
      <c r="F10" s="11" t="s">
        <v>82</v>
      </c>
      <c r="G10" s="24">
        <v>193</v>
      </c>
      <c r="H10" s="12">
        <v>1.9492964156536516</v>
      </c>
      <c r="I10" s="11" t="s">
        <v>83</v>
      </c>
      <c r="J10" s="11" t="s">
        <v>84</v>
      </c>
      <c r="K10" s="12">
        <v>1</v>
      </c>
      <c r="L10" s="12">
        <v>10</v>
      </c>
      <c r="M10" s="11" t="s">
        <v>85</v>
      </c>
      <c r="N10" s="11" t="s">
        <v>86</v>
      </c>
      <c r="O10" s="11" t="s">
        <v>87</v>
      </c>
      <c r="P10" s="11" t="s">
        <v>88</v>
      </c>
      <c r="Q10" s="11" t="s">
        <v>89</v>
      </c>
      <c r="R10" s="11" t="s">
        <v>90</v>
      </c>
      <c r="S10" s="11" t="s">
        <v>83</v>
      </c>
      <c r="T10" s="11" t="s">
        <v>82</v>
      </c>
      <c r="U10" s="12">
        <v>0.05</v>
      </c>
      <c r="V10" s="12">
        <v>0</v>
      </c>
      <c r="W10" s="24">
        <v>30</v>
      </c>
      <c r="X10" t="s">
        <v>116</v>
      </c>
      <c r="Y10" t="s">
        <v>92</v>
      </c>
    </row>
    <row r="11" spans="2:25" x14ac:dyDescent="0.25">
      <c r="B11" s="11" t="s">
        <v>117</v>
      </c>
      <c r="C11" s="11" t="s">
        <v>118</v>
      </c>
      <c r="D11" s="12">
        <v>1</v>
      </c>
      <c r="E11" s="23">
        <v>40600</v>
      </c>
      <c r="F11" s="11" t="s">
        <v>82</v>
      </c>
      <c r="G11" s="24">
        <v>203</v>
      </c>
      <c r="H11" s="12">
        <v>1.8422876293694037</v>
      </c>
      <c r="I11" s="11" t="s">
        <v>83</v>
      </c>
      <c r="J11" s="11" t="s">
        <v>84</v>
      </c>
      <c r="K11" s="12">
        <v>1</v>
      </c>
      <c r="L11" s="12">
        <v>10</v>
      </c>
      <c r="M11" s="11" t="s">
        <v>85</v>
      </c>
      <c r="N11" s="11" t="s">
        <v>86</v>
      </c>
      <c r="O11" s="11" t="s">
        <v>87</v>
      </c>
      <c r="P11" s="11" t="s">
        <v>88</v>
      </c>
      <c r="Q11" s="11" t="s">
        <v>89</v>
      </c>
      <c r="R11" s="11" t="s">
        <v>90</v>
      </c>
      <c r="S11" s="11" t="s">
        <v>83</v>
      </c>
      <c r="T11" s="11" t="s">
        <v>82</v>
      </c>
      <c r="U11" s="12">
        <v>0.05</v>
      </c>
      <c r="V11" s="12">
        <v>0</v>
      </c>
      <c r="W11" s="24">
        <v>30</v>
      </c>
      <c r="X11" t="s">
        <v>119</v>
      </c>
      <c r="Y11" t="s">
        <v>92</v>
      </c>
    </row>
    <row r="12" spans="2:25" x14ac:dyDescent="0.25">
      <c r="B12" s="11" t="s">
        <v>120</v>
      </c>
      <c r="C12" s="11" t="s">
        <v>121</v>
      </c>
      <c r="D12" s="12">
        <v>1</v>
      </c>
      <c r="E12" s="23">
        <v>39800</v>
      </c>
      <c r="F12" s="11" t="s">
        <v>82</v>
      </c>
      <c r="G12" s="24">
        <v>199</v>
      </c>
      <c r="H12" s="12">
        <v>1.9026143958432604</v>
      </c>
      <c r="I12" s="11" t="s">
        <v>83</v>
      </c>
      <c r="J12" s="11" t="s">
        <v>84</v>
      </c>
      <c r="K12" s="12">
        <v>1</v>
      </c>
      <c r="L12" s="12">
        <v>10</v>
      </c>
      <c r="M12" s="11" t="s">
        <v>85</v>
      </c>
      <c r="N12" s="11" t="s">
        <v>86</v>
      </c>
      <c r="O12" s="11" t="s">
        <v>87</v>
      </c>
      <c r="P12" s="11" t="s">
        <v>88</v>
      </c>
      <c r="Q12" s="11" t="s">
        <v>89</v>
      </c>
      <c r="R12" s="11" t="s">
        <v>90</v>
      </c>
      <c r="S12" s="11" t="s">
        <v>83</v>
      </c>
      <c r="T12" s="11" t="s">
        <v>82</v>
      </c>
      <c r="U12" s="12">
        <v>0.05</v>
      </c>
      <c r="V12" s="12">
        <v>0</v>
      </c>
      <c r="W12" s="24">
        <v>30</v>
      </c>
      <c r="X12" t="s">
        <v>122</v>
      </c>
      <c r="Y12" t="s">
        <v>92</v>
      </c>
    </row>
    <row r="13" spans="2:25" x14ac:dyDescent="0.25">
      <c r="B13" s="11" t="s">
        <v>123</v>
      </c>
      <c r="C13" s="11" t="s">
        <v>124</v>
      </c>
      <c r="D13" s="12" t="s">
        <v>101</v>
      </c>
      <c r="E13" s="23">
        <f>AVERAGE(E10:E12)</f>
        <v>39666.666666666664</v>
      </c>
      <c r="G13" s="24" t="s">
        <v>102</v>
      </c>
      <c r="H13" s="12">
        <f>STDEV(E10:E12)/AVERAGE(E10:E12)*100</f>
        <v>2.5377594740405884</v>
      </c>
    </row>
    <row r="14" spans="2:25" x14ac:dyDescent="0.25">
      <c r="B14" s="11" t="s">
        <v>125</v>
      </c>
      <c r="C14" s="11" t="s">
        <v>126</v>
      </c>
      <c r="D14" s="12">
        <v>1</v>
      </c>
      <c r="E14" s="23">
        <v>23200</v>
      </c>
      <c r="F14" s="11" t="s">
        <v>82</v>
      </c>
      <c r="G14" s="24">
        <v>116</v>
      </c>
      <c r="H14" s="12">
        <v>2.0723392878622358</v>
      </c>
      <c r="I14" s="11" t="s">
        <v>83</v>
      </c>
      <c r="J14" s="11" t="s">
        <v>84</v>
      </c>
      <c r="K14" s="12">
        <v>1</v>
      </c>
      <c r="L14" s="12">
        <v>10</v>
      </c>
      <c r="M14" s="11" t="s">
        <v>85</v>
      </c>
      <c r="N14" s="11" t="s">
        <v>86</v>
      </c>
      <c r="O14" s="11" t="s">
        <v>87</v>
      </c>
      <c r="P14" s="11" t="s">
        <v>88</v>
      </c>
      <c r="Q14" s="11" t="s">
        <v>89</v>
      </c>
      <c r="R14" s="11" t="s">
        <v>90</v>
      </c>
      <c r="S14" s="11" t="s">
        <v>83</v>
      </c>
      <c r="T14" s="11" t="s">
        <v>82</v>
      </c>
      <c r="U14" s="12">
        <v>0.05</v>
      </c>
      <c r="V14" s="12">
        <v>0</v>
      </c>
      <c r="W14" s="24">
        <v>30</v>
      </c>
      <c r="X14" t="s">
        <v>127</v>
      </c>
      <c r="Y14" t="s">
        <v>92</v>
      </c>
    </row>
    <row r="15" spans="2:25" x14ac:dyDescent="0.25">
      <c r="B15" s="11" t="s">
        <v>128</v>
      </c>
      <c r="C15" s="11" t="s">
        <v>129</v>
      </c>
      <c r="D15" s="12">
        <v>1</v>
      </c>
      <c r="E15" s="23">
        <v>23200</v>
      </c>
      <c r="F15" s="11" t="s">
        <v>82</v>
      </c>
      <c r="G15" s="24">
        <v>116</v>
      </c>
      <c r="H15" s="12">
        <v>2.1854068910742295</v>
      </c>
      <c r="I15" s="11" t="s">
        <v>83</v>
      </c>
      <c r="J15" s="11" t="s">
        <v>84</v>
      </c>
      <c r="K15" s="12">
        <v>1</v>
      </c>
      <c r="L15" s="12">
        <v>10</v>
      </c>
      <c r="M15" s="11" t="s">
        <v>85</v>
      </c>
      <c r="N15" s="11" t="s">
        <v>86</v>
      </c>
      <c r="O15" s="11" t="s">
        <v>87</v>
      </c>
      <c r="P15" s="11" t="s">
        <v>88</v>
      </c>
      <c r="Q15" s="11" t="s">
        <v>89</v>
      </c>
      <c r="R15" s="11" t="s">
        <v>90</v>
      </c>
      <c r="S15" s="11" t="s">
        <v>83</v>
      </c>
      <c r="T15" s="11" t="s">
        <v>82</v>
      </c>
      <c r="U15" s="12">
        <v>0.05</v>
      </c>
      <c r="V15" s="12">
        <v>0</v>
      </c>
      <c r="W15" s="24">
        <v>30</v>
      </c>
      <c r="X15" t="s">
        <v>130</v>
      </c>
      <c r="Y15" t="s">
        <v>92</v>
      </c>
    </row>
    <row r="16" spans="2:25" x14ac:dyDescent="0.25">
      <c r="B16" s="11" t="s">
        <v>131</v>
      </c>
      <c r="C16" s="11" t="s">
        <v>132</v>
      </c>
      <c r="D16" s="12">
        <v>1</v>
      </c>
      <c r="E16" s="23">
        <v>19600</v>
      </c>
      <c r="F16" s="11" t="s">
        <v>82</v>
      </c>
      <c r="G16" s="24">
        <v>98</v>
      </c>
      <c r="H16" s="12">
        <v>2.1576398888187405</v>
      </c>
      <c r="I16" s="11" t="s">
        <v>83</v>
      </c>
      <c r="J16" s="11" t="s">
        <v>84</v>
      </c>
      <c r="K16" s="12">
        <v>1</v>
      </c>
      <c r="L16" s="12">
        <v>10</v>
      </c>
      <c r="M16" s="11" t="s">
        <v>85</v>
      </c>
      <c r="N16" s="11" t="s">
        <v>86</v>
      </c>
      <c r="O16" s="11" t="s">
        <v>87</v>
      </c>
      <c r="P16" s="11" t="s">
        <v>88</v>
      </c>
      <c r="Q16" s="11" t="s">
        <v>89</v>
      </c>
      <c r="R16" s="11" t="s">
        <v>90</v>
      </c>
      <c r="S16" s="11" t="s">
        <v>83</v>
      </c>
      <c r="T16" s="11" t="s">
        <v>82</v>
      </c>
      <c r="U16" s="12">
        <v>0.05</v>
      </c>
      <c r="V16" s="12">
        <v>0</v>
      </c>
      <c r="W16" s="24">
        <v>30</v>
      </c>
      <c r="X16" t="s">
        <v>133</v>
      </c>
      <c r="Y16" t="s">
        <v>92</v>
      </c>
    </row>
    <row r="17" spans="2:25" x14ac:dyDescent="0.25">
      <c r="B17" s="11" t="s">
        <v>134</v>
      </c>
      <c r="C17" s="11" t="s">
        <v>135</v>
      </c>
      <c r="D17" s="12" t="s">
        <v>101</v>
      </c>
      <c r="E17" s="23">
        <f>AVERAGE(E14:E16)</f>
        <v>22000</v>
      </c>
      <c r="G17" s="24" t="s">
        <v>102</v>
      </c>
      <c r="H17" s="12">
        <f>STDEV(E14:E16)/AVERAGE(E14:E16)*100</f>
        <v>9.447549859466605</v>
      </c>
    </row>
    <row r="18" spans="2:25" x14ac:dyDescent="0.25">
      <c r="B18" s="11" t="s">
        <v>136</v>
      </c>
      <c r="C18" s="11" t="s">
        <v>137</v>
      </c>
      <c r="D18" s="12">
        <v>1</v>
      </c>
      <c r="E18" s="23">
        <v>30200</v>
      </c>
      <c r="F18" s="11" t="s">
        <v>82</v>
      </c>
      <c r="G18" s="24">
        <v>151</v>
      </c>
      <c r="H18" s="12">
        <v>2.0804392866613899</v>
      </c>
      <c r="I18" s="11" t="s">
        <v>83</v>
      </c>
      <c r="J18" s="11" t="s">
        <v>84</v>
      </c>
      <c r="K18" s="12">
        <v>1</v>
      </c>
      <c r="L18" s="12">
        <v>10</v>
      </c>
      <c r="M18" s="11" t="s">
        <v>85</v>
      </c>
      <c r="N18" s="11" t="s">
        <v>86</v>
      </c>
      <c r="O18" s="11" t="s">
        <v>87</v>
      </c>
      <c r="P18" s="11" t="s">
        <v>88</v>
      </c>
      <c r="Q18" s="11" t="s">
        <v>89</v>
      </c>
      <c r="R18" s="11" t="s">
        <v>90</v>
      </c>
      <c r="S18" s="11" t="s">
        <v>83</v>
      </c>
      <c r="T18" s="11" t="s">
        <v>82</v>
      </c>
      <c r="U18" s="12">
        <v>0.05</v>
      </c>
      <c r="V18" s="12">
        <v>0</v>
      </c>
      <c r="W18" s="24">
        <v>30</v>
      </c>
      <c r="X18" t="s">
        <v>138</v>
      </c>
      <c r="Y18" t="s">
        <v>92</v>
      </c>
    </row>
    <row r="19" spans="2:25" x14ac:dyDescent="0.25">
      <c r="B19" s="11" t="s">
        <v>139</v>
      </c>
      <c r="C19" s="11" t="s">
        <v>140</v>
      </c>
      <c r="D19" s="12">
        <v>1</v>
      </c>
      <c r="E19" s="23">
        <v>32200</v>
      </c>
      <c r="F19" s="11" t="s">
        <v>82</v>
      </c>
      <c r="G19" s="24">
        <v>161</v>
      </c>
      <c r="H19" s="12">
        <v>1.9880039360927215</v>
      </c>
      <c r="I19" s="11" t="s">
        <v>83</v>
      </c>
      <c r="J19" s="11" t="s">
        <v>84</v>
      </c>
      <c r="K19" s="12">
        <v>1</v>
      </c>
      <c r="L19" s="12">
        <v>10</v>
      </c>
      <c r="M19" s="11" t="s">
        <v>85</v>
      </c>
      <c r="N19" s="11" t="s">
        <v>86</v>
      </c>
      <c r="O19" s="11" t="s">
        <v>87</v>
      </c>
      <c r="P19" s="11" t="s">
        <v>88</v>
      </c>
      <c r="Q19" s="11" t="s">
        <v>89</v>
      </c>
      <c r="R19" s="11" t="s">
        <v>90</v>
      </c>
      <c r="S19" s="11" t="s">
        <v>83</v>
      </c>
      <c r="T19" s="11" t="s">
        <v>82</v>
      </c>
      <c r="U19" s="12">
        <v>0.05</v>
      </c>
      <c r="V19" s="12">
        <v>0</v>
      </c>
      <c r="W19" s="24">
        <v>30</v>
      </c>
      <c r="X19" t="s">
        <v>141</v>
      </c>
      <c r="Y19" t="s">
        <v>92</v>
      </c>
    </row>
    <row r="20" spans="2:25" x14ac:dyDescent="0.25">
      <c r="B20" s="11" t="s">
        <v>142</v>
      </c>
      <c r="C20" s="11" t="s">
        <v>143</v>
      </c>
      <c r="D20" s="12">
        <v>1</v>
      </c>
      <c r="E20" s="23">
        <v>28000</v>
      </c>
      <c r="F20" s="11" t="s">
        <v>82</v>
      </c>
      <c r="G20" s="24">
        <v>140</v>
      </c>
      <c r="H20" s="12">
        <v>2.0296915561320619</v>
      </c>
      <c r="I20" s="11" t="s">
        <v>83</v>
      </c>
      <c r="J20" s="11" t="s">
        <v>84</v>
      </c>
      <c r="K20" s="12">
        <v>1</v>
      </c>
      <c r="L20" s="12">
        <v>10</v>
      </c>
      <c r="M20" s="11" t="s">
        <v>85</v>
      </c>
      <c r="N20" s="11" t="s">
        <v>86</v>
      </c>
      <c r="O20" s="11" t="s">
        <v>87</v>
      </c>
      <c r="P20" s="11" t="s">
        <v>88</v>
      </c>
      <c r="Q20" s="11" t="s">
        <v>89</v>
      </c>
      <c r="R20" s="11" t="s">
        <v>90</v>
      </c>
      <c r="S20" s="11" t="s">
        <v>83</v>
      </c>
      <c r="T20" s="11" t="s">
        <v>82</v>
      </c>
      <c r="U20" s="12">
        <v>0.05</v>
      </c>
      <c r="V20" s="12">
        <v>0</v>
      </c>
      <c r="W20" s="24">
        <v>30</v>
      </c>
      <c r="X20" t="s">
        <v>144</v>
      </c>
      <c r="Y20" t="s">
        <v>92</v>
      </c>
    </row>
    <row r="21" spans="2:25" x14ac:dyDescent="0.25">
      <c r="B21" s="11" t="s">
        <v>145</v>
      </c>
      <c r="C21" s="11" t="s">
        <v>146</v>
      </c>
      <c r="D21" s="12" t="s">
        <v>101</v>
      </c>
      <c r="E21" s="23">
        <f>AVERAGE(E18:E20)</f>
        <v>30133.333333333332</v>
      </c>
      <c r="G21" s="24" t="s">
        <v>102</v>
      </c>
      <c r="H21" s="12">
        <f>STDEV(E18:E20)/AVERAGE(E18:E20)*100</f>
        <v>6.9716598480481116</v>
      </c>
    </row>
    <row r="22" spans="2:25" x14ac:dyDescent="0.25">
      <c r="B22" s="11" t="s">
        <v>147</v>
      </c>
      <c r="C22" s="11" t="s">
        <v>148</v>
      </c>
      <c r="D22" s="12">
        <v>1</v>
      </c>
      <c r="E22" s="23">
        <v>30800</v>
      </c>
      <c r="F22" s="11" t="s">
        <v>82</v>
      </c>
      <c r="G22" s="24">
        <v>154</v>
      </c>
      <c r="H22" s="12">
        <v>2.1567406745291864</v>
      </c>
      <c r="I22" s="11" t="s">
        <v>83</v>
      </c>
      <c r="J22" s="11" t="s">
        <v>84</v>
      </c>
      <c r="K22" s="12">
        <v>1</v>
      </c>
      <c r="L22" s="12">
        <v>10</v>
      </c>
      <c r="M22" s="11" t="s">
        <v>85</v>
      </c>
      <c r="N22" s="11" t="s">
        <v>86</v>
      </c>
      <c r="O22" s="11" t="s">
        <v>87</v>
      </c>
      <c r="P22" s="11" t="s">
        <v>88</v>
      </c>
      <c r="Q22" s="11" t="s">
        <v>89</v>
      </c>
      <c r="R22" s="11" t="s">
        <v>90</v>
      </c>
      <c r="S22" s="11" t="s">
        <v>83</v>
      </c>
      <c r="T22" s="11" t="s">
        <v>82</v>
      </c>
      <c r="U22" s="12">
        <v>0.05</v>
      </c>
      <c r="V22" s="12">
        <v>0</v>
      </c>
      <c r="W22" s="24">
        <v>30</v>
      </c>
      <c r="X22" t="s">
        <v>149</v>
      </c>
      <c r="Y22" t="s">
        <v>92</v>
      </c>
    </row>
    <row r="23" spans="2:25" x14ac:dyDescent="0.25">
      <c r="B23" s="11" t="s">
        <v>150</v>
      </c>
      <c r="C23" s="11" t="s">
        <v>151</v>
      </c>
      <c r="D23" s="12">
        <v>1</v>
      </c>
      <c r="E23" s="23">
        <v>37200</v>
      </c>
      <c r="F23" s="11" t="s">
        <v>82</v>
      </c>
      <c r="G23" s="24">
        <v>186</v>
      </c>
      <c r="H23" s="12">
        <v>1.9664300814625035</v>
      </c>
      <c r="I23" s="11" t="s">
        <v>83</v>
      </c>
      <c r="J23" s="11" t="s">
        <v>84</v>
      </c>
      <c r="K23" s="12">
        <v>1</v>
      </c>
      <c r="L23" s="12">
        <v>10</v>
      </c>
      <c r="M23" s="11" t="s">
        <v>85</v>
      </c>
      <c r="N23" s="11" t="s">
        <v>86</v>
      </c>
      <c r="O23" s="11" t="s">
        <v>87</v>
      </c>
      <c r="P23" s="11" t="s">
        <v>88</v>
      </c>
      <c r="Q23" s="11" t="s">
        <v>89</v>
      </c>
      <c r="R23" s="11" t="s">
        <v>90</v>
      </c>
      <c r="S23" s="11" t="s">
        <v>83</v>
      </c>
      <c r="T23" s="11" t="s">
        <v>82</v>
      </c>
      <c r="U23" s="12">
        <v>0.05</v>
      </c>
      <c r="V23" s="12">
        <v>0</v>
      </c>
      <c r="W23" s="24">
        <v>30</v>
      </c>
      <c r="X23" t="s">
        <v>152</v>
      </c>
      <c r="Y23" t="s">
        <v>92</v>
      </c>
    </row>
    <row r="24" spans="2:25" x14ac:dyDescent="0.25">
      <c r="B24" s="11" t="s">
        <v>153</v>
      </c>
      <c r="C24" s="11" t="s">
        <v>154</v>
      </c>
      <c r="D24" s="12">
        <v>1</v>
      </c>
      <c r="E24" s="23">
        <v>32600</v>
      </c>
      <c r="F24" s="11" t="s">
        <v>82</v>
      </c>
      <c r="G24" s="24">
        <v>163</v>
      </c>
      <c r="H24" s="12">
        <v>2.0495062369447306</v>
      </c>
      <c r="I24" s="11" t="s">
        <v>83</v>
      </c>
      <c r="J24" s="11" t="s">
        <v>84</v>
      </c>
      <c r="K24" s="12">
        <v>1</v>
      </c>
      <c r="L24" s="12">
        <v>10</v>
      </c>
      <c r="M24" s="11" t="s">
        <v>85</v>
      </c>
      <c r="N24" s="11" t="s">
        <v>86</v>
      </c>
      <c r="O24" s="11" t="s">
        <v>87</v>
      </c>
      <c r="P24" s="11" t="s">
        <v>88</v>
      </c>
      <c r="Q24" s="11" t="s">
        <v>89</v>
      </c>
      <c r="R24" s="11" t="s">
        <v>90</v>
      </c>
      <c r="S24" s="11" t="s">
        <v>83</v>
      </c>
      <c r="T24" s="11" t="s">
        <v>82</v>
      </c>
      <c r="U24" s="12">
        <v>0.05</v>
      </c>
      <c r="V24" s="12">
        <v>0</v>
      </c>
      <c r="W24" s="24">
        <v>30</v>
      </c>
      <c r="X24" t="s">
        <v>155</v>
      </c>
      <c r="Y24" t="s">
        <v>92</v>
      </c>
    </row>
    <row r="25" spans="2:25" x14ac:dyDescent="0.25">
      <c r="B25" s="11" t="s">
        <v>156</v>
      </c>
      <c r="C25" s="11" t="s">
        <v>157</v>
      </c>
      <c r="D25" s="12" t="s">
        <v>101</v>
      </c>
      <c r="E25" s="23">
        <f>AVERAGE(E22:E24)</f>
        <v>33533.333333333336</v>
      </c>
      <c r="G25" s="24" t="s">
        <v>102</v>
      </c>
      <c r="H25" s="12">
        <f>STDEV(E22:E24)/AVERAGE(E22:E24)*100</f>
        <v>9.8424602739455782</v>
      </c>
    </row>
    <row r="26" spans="2:25" x14ac:dyDescent="0.25">
      <c r="B26" s="11" t="s">
        <v>158</v>
      </c>
      <c r="C26" s="11" t="s">
        <v>159</v>
      </c>
      <c r="D26" s="12">
        <v>1</v>
      </c>
      <c r="E26" s="23">
        <v>27400</v>
      </c>
      <c r="F26" s="11" t="s">
        <v>82</v>
      </c>
      <c r="G26" s="24">
        <v>137</v>
      </c>
      <c r="H26" s="12">
        <v>2.0267030060627049</v>
      </c>
      <c r="I26" s="11" t="s">
        <v>83</v>
      </c>
      <c r="J26" s="11" t="s">
        <v>84</v>
      </c>
      <c r="K26" s="12">
        <v>1</v>
      </c>
      <c r="L26" s="12">
        <v>10</v>
      </c>
      <c r="M26" s="11" t="s">
        <v>85</v>
      </c>
      <c r="N26" s="11" t="s">
        <v>86</v>
      </c>
      <c r="O26" s="11" t="s">
        <v>87</v>
      </c>
      <c r="P26" s="11" t="s">
        <v>88</v>
      </c>
      <c r="Q26" s="11" t="s">
        <v>89</v>
      </c>
      <c r="R26" s="11" t="s">
        <v>90</v>
      </c>
      <c r="S26" s="11" t="s">
        <v>83</v>
      </c>
      <c r="T26" s="11" t="s">
        <v>82</v>
      </c>
      <c r="U26" s="12">
        <v>0.05</v>
      </c>
      <c r="V26" s="12">
        <v>0</v>
      </c>
      <c r="W26" s="24">
        <v>30</v>
      </c>
      <c r="X26" t="s">
        <v>160</v>
      </c>
      <c r="Y26" t="s">
        <v>92</v>
      </c>
    </row>
    <row r="27" spans="2:25" x14ac:dyDescent="0.25">
      <c r="B27" s="11" t="s">
        <v>161</v>
      </c>
      <c r="C27" s="11" t="s">
        <v>162</v>
      </c>
      <c r="D27" s="12">
        <v>1</v>
      </c>
      <c r="E27" s="23">
        <v>30800</v>
      </c>
      <c r="F27" s="11" t="s">
        <v>82</v>
      </c>
      <c r="G27" s="24">
        <v>154</v>
      </c>
      <c r="H27" s="12">
        <v>1.9753255629136017</v>
      </c>
      <c r="I27" s="11" t="s">
        <v>83</v>
      </c>
      <c r="J27" s="11" t="s">
        <v>84</v>
      </c>
      <c r="K27" s="12">
        <v>1</v>
      </c>
      <c r="L27" s="12">
        <v>10</v>
      </c>
      <c r="M27" s="11" t="s">
        <v>85</v>
      </c>
      <c r="N27" s="11" t="s">
        <v>86</v>
      </c>
      <c r="O27" s="11" t="s">
        <v>87</v>
      </c>
      <c r="P27" s="11" t="s">
        <v>88</v>
      </c>
      <c r="Q27" s="11" t="s">
        <v>89</v>
      </c>
      <c r="R27" s="11" t="s">
        <v>90</v>
      </c>
      <c r="S27" s="11" t="s">
        <v>83</v>
      </c>
      <c r="T27" s="11" t="s">
        <v>82</v>
      </c>
      <c r="U27" s="12">
        <v>0.05</v>
      </c>
      <c r="V27" s="12">
        <v>0</v>
      </c>
      <c r="W27" s="24">
        <v>30</v>
      </c>
      <c r="X27" t="s">
        <v>163</v>
      </c>
      <c r="Y27" t="s">
        <v>92</v>
      </c>
    </row>
    <row r="28" spans="2:25" x14ac:dyDescent="0.25">
      <c r="B28" s="11" t="s">
        <v>164</v>
      </c>
      <c r="C28" s="11" t="s">
        <v>165</v>
      </c>
      <c r="D28" s="12">
        <v>1</v>
      </c>
      <c r="E28" s="23">
        <v>24400</v>
      </c>
      <c r="F28" s="11" t="s">
        <v>82</v>
      </c>
      <c r="G28" s="24">
        <v>122</v>
      </c>
      <c r="H28" s="12">
        <v>2.0479540053908489</v>
      </c>
      <c r="I28" s="11" t="s">
        <v>83</v>
      </c>
      <c r="J28" s="11" t="s">
        <v>84</v>
      </c>
      <c r="K28" s="12">
        <v>1</v>
      </c>
      <c r="L28" s="12">
        <v>10</v>
      </c>
      <c r="M28" s="11" t="s">
        <v>85</v>
      </c>
      <c r="N28" s="11" t="s">
        <v>86</v>
      </c>
      <c r="O28" s="11" t="s">
        <v>87</v>
      </c>
      <c r="P28" s="11" t="s">
        <v>88</v>
      </c>
      <c r="Q28" s="11" t="s">
        <v>89</v>
      </c>
      <c r="R28" s="11" t="s">
        <v>90</v>
      </c>
      <c r="S28" s="11" t="s">
        <v>83</v>
      </c>
      <c r="T28" s="11" t="s">
        <v>82</v>
      </c>
      <c r="U28" s="12">
        <v>0.05</v>
      </c>
      <c r="V28" s="12">
        <v>0</v>
      </c>
      <c r="W28" s="24">
        <v>30</v>
      </c>
      <c r="X28" t="s">
        <v>166</v>
      </c>
      <c r="Y28" t="s">
        <v>92</v>
      </c>
    </row>
    <row r="29" spans="2:25" x14ac:dyDescent="0.25">
      <c r="B29" s="11" t="s">
        <v>167</v>
      </c>
      <c r="C29" s="11" t="s">
        <v>168</v>
      </c>
      <c r="D29" s="12" t="s">
        <v>101</v>
      </c>
      <c r="E29" s="23">
        <f>AVERAGE(E26:E28)</f>
        <v>27533.333333333332</v>
      </c>
      <c r="G29" s="24" t="s">
        <v>102</v>
      </c>
      <c r="H29" s="12">
        <f>STDEV(E26:E28)/AVERAGE(E26:E28)*100</f>
        <v>11.629840153533005</v>
      </c>
    </row>
    <row r="30" spans="2:25" x14ac:dyDescent="0.25">
      <c r="B30" s="11" t="s">
        <v>169</v>
      </c>
      <c r="C30" s="11" t="s">
        <v>170</v>
      </c>
      <c r="D30" s="12">
        <v>1</v>
      </c>
      <c r="E30" s="23">
        <v>27800</v>
      </c>
      <c r="F30" s="11" t="s">
        <v>82</v>
      </c>
      <c r="G30" s="24">
        <v>139</v>
      </c>
      <c r="H30" s="12">
        <v>2.1575443881479281</v>
      </c>
      <c r="I30" s="11" t="s">
        <v>83</v>
      </c>
      <c r="J30" s="11" t="s">
        <v>84</v>
      </c>
      <c r="K30" s="12">
        <v>1</v>
      </c>
      <c r="L30" s="12">
        <v>10</v>
      </c>
      <c r="M30" s="11" t="s">
        <v>85</v>
      </c>
      <c r="N30" s="11" t="s">
        <v>86</v>
      </c>
      <c r="O30" s="11" t="s">
        <v>87</v>
      </c>
      <c r="P30" s="11" t="s">
        <v>88</v>
      </c>
      <c r="Q30" s="11" t="s">
        <v>89</v>
      </c>
      <c r="R30" s="11" t="s">
        <v>90</v>
      </c>
      <c r="S30" s="11" t="s">
        <v>83</v>
      </c>
      <c r="T30" s="11" t="s">
        <v>82</v>
      </c>
      <c r="U30" s="12">
        <v>0.05</v>
      </c>
      <c r="V30" s="12">
        <v>0</v>
      </c>
      <c r="W30" s="24">
        <v>30</v>
      </c>
      <c r="X30" t="s">
        <v>171</v>
      </c>
      <c r="Y30" t="s">
        <v>92</v>
      </c>
    </row>
    <row r="31" spans="2:25" x14ac:dyDescent="0.25">
      <c r="B31" s="11" t="s">
        <v>172</v>
      </c>
      <c r="C31" s="11" t="s">
        <v>173</v>
      </c>
      <c r="D31" s="12">
        <v>1</v>
      </c>
      <c r="E31" s="23">
        <v>26000</v>
      </c>
      <c r="F31" s="11" t="s">
        <v>82</v>
      </c>
      <c r="G31" s="24">
        <v>130</v>
      </c>
      <c r="H31" s="12">
        <v>2.1444694877188306</v>
      </c>
      <c r="I31" s="11" t="s">
        <v>83</v>
      </c>
      <c r="J31" s="11" t="s">
        <v>84</v>
      </c>
      <c r="K31" s="12">
        <v>1</v>
      </c>
      <c r="L31" s="12">
        <v>10</v>
      </c>
      <c r="M31" s="11" t="s">
        <v>85</v>
      </c>
      <c r="N31" s="11" t="s">
        <v>86</v>
      </c>
      <c r="O31" s="11" t="s">
        <v>87</v>
      </c>
      <c r="P31" s="11" t="s">
        <v>88</v>
      </c>
      <c r="Q31" s="11" t="s">
        <v>89</v>
      </c>
      <c r="R31" s="11" t="s">
        <v>90</v>
      </c>
      <c r="S31" s="11" t="s">
        <v>83</v>
      </c>
      <c r="T31" s="11" t="s">
        <v>82</v>
      </c>
      <c r="U31" s="12">
        <v>0.05</v>
      </c>
      <c r="V31" s="12">
        <v>0</v>
      </c>
      <c r="W31" s="24">
        <v>30</v>
      </c>
      <c r="X31" t="s">
        <v>174</v>
      </c>
      <c r="Y31" t="s">
        <v>92</v>
      </c>
    </row>
    <row r="32" spans="2:25" x14ac:dyDescent="0.25">
      <c r="B32" s="11" t="s">
        <v>175</v>
      </c>
      <c r="C32" s="11" t="s">
        <v>176</v>
      </c>
      <c r="D32" s="12">
        <v>1</v>
      </c>
      <c r="E32" s="23">
        <v>26000</v>
      </c>
      <c r="F32" s="11" t="s">
        <v>82</v>
      </c>
      <c r="G32" s="24">
        <v>130</v>
      </c>
      <c r="H32" s="12">
        <v>1.9896168689659781</v>
      </c>
      <c r="I32" s="11" t="s">
        <v>83</v>
      </c>
      <c r="J32" s="11" t="s">
        <v>84</v>
      </c>
      <c r="K32" s="12">
        <v>1</v>
      </c>
      <c r="L32" s="12">
        <v>10</v>
      </c>
      <c r="M32" s="11" t="s">
        <v>85</v>
      </c>
      <c r="N32" s="11" t="s">
        <v>86</v>
      </c>
      <c r="O32" s="11" t="s">
        <v>87</v>
      </c>
      <c r="P32" s="11" t="s">
        <v>88</v>
      </c>
      <c r="Q32" s="11" t="s">
        <v>89</v>
      </c>
      <c r="R32" s="11" t="s">
        <v>90</v>
      </c>
      <c r="S32" s="11" t="s">
        <v>83</v>
      </c>
      <c r="T32" s="11" t="s">
        <v>82</v>
      </c>
      <c r="U32" s="12">
        <v>0.05</v>
      </c>
      <c r="V32" s="12">
        <v>0</v>
      </c>
      <c r="W32" s="24">
        <v>30</v>
      </c>
      <c r="X32" t="s">
        <v>177</v>
      </c>
      <c r="Y32" t="s">
        <v>92</v>
      </c>
    </row>
    <row r="33" spans="1:25" x14ac:dyDescent="0.25">
      <c r="B33" s="11" t="s">
        <v>178</v>
      </c>
      <c r="C33" s="11" t="s">
        <v>179</v>
      </c>
      <c r="D33" s="12" t="s">
        <v>101</v>
      </c>
      <c r="E33" s="23">
        <f>AVERAGE(E30:E32)</f>
        <v>26600</v>
      </c>
      <c r="G33" s="24" t="s">
        <v>102</v>
      </c>
      <c r="H33" s="12">
        <f>STDEV(E30:E32)/AVERAGE(E30:E32)*100</f>
        <v>3.9068815208320542</v>
      </c>
    </row>
    <row r="34" spans="1:25" x14ac:dyDescent="0.25">
      <c r="B34" s="11" t="s">
        <v>180</v>
      </c>
      <c r="C34" s="11" t="s">
        <v>181</v>
      </c>
      <c r="D34" s="12">
        <v>1</v>
      </c>
      <c r="E34" s="23">
        <v>34800</v>
      </c>
      <c r="F34" s="11" t="s">
        <v>82</v>
      </c>
      <c r="G34" s="24">
        <v>174</v>
      </c>
      <c r="H34" s="12">
        <v>1.9455093550350182</v>
      </c>
      <c r="I34" s="11" t="s">
        <v>83</v>
      </c>
      <c r="J34" s="11" t="s">
        <v>84</v>
      </c>
      <c r="K34" s="12">
        <v>1</v>
      </c>
      <c r="L34" s="12">
        <v>10</v>
      </c>
      <c r="M34" s="11" t="s">
        <v>85</v>
      </c>
      <c r="N34" s="11" t="s">
        <v>86</v>
      </c>
      <c r="O34" s="11" t="s">
        <v>87</v>
      </c>
      <c r="P34" s="11" t="s">
        <v>88</v>
      </c>
      <c r="Q34" s="11" t="s">
        <v>89</v>
      </c>
      <c r="R34" s="11" t="s">
        <v>90</v>
      </c>
      <c r="S34" s="11" t="s">
        <v>83</v>
      </c>
      <c r="T34" s="11" t="s">
        <v>82</v>
      </c>
      <c r="U34" s="12">
        <v>0.05</v>
      </c>
      <c r="V34" s="12">
        <v>0</v>
      </c>
      <c r="W34" s="24">
        <v>30</v>
      </c>
      <c r="X34" t="s">
        <v>182</v>
      </c>
      <c r="Y34" t="s">
        <v>92</v>
      </c>
    </row>
    <row r="35" spans="1:25" x14ac:dyDescent="0.25">
      <c r="B35" s="11" t="s">
        <v>183</v>
      </c>
      <c r="C35" s="11" t="s">
        <v>184</v>
      </c>
      <c r="D35" s="12">
        <v>1</v>
      </c>
      <c r="E35" s="23">
        <v>27200</v>
      </c>
      <c r="F35" s="11" t="s">
        <v>82</v>
      </c>
      <c r="G35" s="24">
        <v>136</v>
      </c>
      <c r="H35" s="12">
        <v>2.0639203868255573</v>
      </c>
      <c r="I35" s="11" t="s">
        <v>83</v>
      </c>
      <c r="J35" s="11" t="s">
        <v>84</v>
      </c>
      <c r="K35" s="12">
        <v>1</v>
      </c>
      <c r="L35" s="12">
        <v>10</v>
      </c>
      <c r="M35" s="11" t="s">
        <v>85</v>
      </c>
      <c r="N35" s="11" t="s">
        <v>86</v>
      </c>
      <c r="O35" s="11" t="s">
        <v>87</v>
      </c>
      <c r="P35" s="11" t="s">
        <v>88</v>
      </c>
      <c r="Q35" s="11" t="s">
        <v>89</v>
      </c>
      <c r="R35" s="11" t="s">
        <v>90</v>
      </c>
      <c r="S35" s="11" t="s">
        <v>83</v>
      </c>
      <c r="T35" s="11" t="s">
        <v>82</v>
      </c>
      <c r="U35" s="12">
        <v>0.05</v>
      </c>
      <c r="V35" s="12">
        <v>0</v>
      </c>
      <c r="W35" s="24">
        <v>30</v>
      </c>
      <c r="X35" t="s">
        <v>185</v>
      </c>
      <c r="Y35" t="s">
        <v>92</v>
      </c>
    </row>
    <row r="36" spans="1:25" x14ac:dyDescent="0.25">
      <c r="B36" s="11" t="s">
        <v>186</v>
      </c>
      <c r="C36" s="11" t="s">
        <v>187</v>
      </c>
      <c r="D36" s="12">
        <v>1</v>
      </c>
      <c r="E36" s="23">
        <v>32200</v>
      </c>
      <c r="F36" s="11" t="s">
        <v>82</v>
      </c>
      <c r="G36" s="24">
        <v>161</v>
      </c>
      <c r="H36" s="12">
        <v>1.9998641637655774</v>
      </c>
      <c r="I36" s="11" t="s">
        <v>83</v>
      </c>
      <c r="J36" s="11" t="s">
        <v>84</v>
      </c>
      <c r="K36" s="12">
        <v>1</v>
      </c>
      <c r="L36" s="12">
        <v>10</v>
      </c>
      <c r="M36" s="11" t="s">
        <v>85</v>
      </c>
      <c r="N36" s="11" t="s">
        <v>86</v>
      </c>
      <c r="O36" s="11" t="s">
        <v>87</v>
      </c>
      <c r="P36" s="11" t="s">
        <v>88</v>
      </c>
      <c r="Q36" s="11" t="s">
        <v>89</v>
      </c>
      <c r="R36" s="11" t="s">
        <v>90</v>
      </c>
      <c r="S36" s="11" t="s">
        <v>83</v>
      </c>
      <c r="T36" s="11" t="s">
        <v>82</v>
      </c>
      <c r="U36" s="12">
        <v>0.05</v>
      </c>
      <c r="V36" s="12">
        <v>0</v>
      </c>
      <c r="W36" s="24">
        <v>30</v>
      </c>
      <c r="X36" t="s">
        <v>188</v>
      </c>
      <c r="Y36" t="s">
        <v>92</v>
      </c>
    </row>
    <row r="37" spans="1:25" x14ac:dyDescent="0.25">
      <c r="B37" s="11" t="s">
        <v>189</v>
      </c>
      <c r="C37" s="11" t="s">
        <v>190</v>
      </c>
      <c r="D37" s="12" t="s">
        <v>101</v>
      </c>
      <c r="E37" s="23">
        <f>AVERAGE(E34:E36)</f>
        <v>31400</v>
      </c>
      <c r="G37" s="24" t="s">
        <v>102</v>
      </c>
      <c r="H37" s="12">
        <f>STDEV(E34:E36)/AVERAGE(E34:E36)*100</f>
        <v>12.301406315813992</v>
      </c>
    </row>
    <row r="38" spans="1:25" x14ac:dyDescent="0.25">
      <c r="B38" s="11" t="s">
        <v>191</v>
      </c>
      <c r="C38" s="11" t="s">
        <v>192</v>
      </c>
      <c r="D38" s="12">
        <v>1</v>
      </c>
      <c r="E38" s="23">
        <v>32600</v>
      </c>
      <c r="F38" s="11" t="s">
        <v>82</v>
      </c>
      <c r="G38" s="24">
        <v>163</v>
      </c>
      <c r="H38" s="12">
        <v>1.9529058969576458</v>
      </c>
      <c r="I38" s="11" t="s">
        <v>83</v>
      </c>
      <c r="J38" s="11" t="s">
        <v>84</v>
      </c>
      <c r="K38" s="12">
        <v>1</v>
      </c>
      <c r="L38" s="12">
        <v>10</v>
      </c>
      <c r="M38" s="11" t="s">
        <v>85</v>
      </c>
      <c r="N38" s="11" t="s">
        <v>86</v>
      </c>
      <c r="O38" s="11" t="s">
        <v>87</v>
      </c>
      <c r="P38" s="11" t="s">
        <v>88</v>
      </c>
      <c r="Q38" s="11" t="s">
        <v>89</v>
      </c>
      <c r="R38" s="11" t="s">
        <v>90</v>
      </c>
      <c r="S38" s="11" t="s">
        <v>83</v>
      </c>
      <c r="T38" s="11" t="s">
        <v>82</v>
      </c>
      <c r="U38" s="12">
        <v>0.05</v>
      </c>
      <c r="V38" s="12">
        <v>0</v>
      </c>
      <c r="W38" s="24">
        <v>30</v>
      </c>
      <c r="X38" t="s">
        <v>193</v>
      </c>
      <c r="Y38" t="s">
        <v>92</v>
      </c>
    </row>
    <row r="39" spans="1:25" x14ac:dyDescent="0.25">
      <c r="B39" s="11" t="s">
        <v>194</v>
      </c>
      <c r="C39" s="11" t="s">
        <v>195</v>
      </c>
      <c r="D39" s="12">
        <v>1</v>
      </c>
      <c r="E39" s="23">
        <v>33000</v>
      </c>
      <c r="F39" s="11" t="s">
        <v>82</v>
      </c>
      <c r="G39" s="24">
        <v>165</v>
      </c>
      <c r="H39" s="12">
        <v>2.0441311090752632</v>
      </c>
      <c r="I39" s="11" t="s">
        <v>83</v>
      </c>
      <c r="J39" s="11" t="s">
        <v>84</v>
      </c>
      <c r="K39" s="12">
        <v>1</v>
      </c>
      <c r="L39" s="12">
        <v>10</v>
      </c>
      <c r="M39" s="11" t="s">
        <v>85</v>
      </c>
      <c r="N39" s="11" t="s">
        <v>86</v>
      </c>
      <c r="O39" s="11" t="s">
        <v>87</v>
      </c>
      <c r="P39" s="11" t="s">
        <v>88</v>
      </c>
      <c r="Q39" s="11" t="s">
        <v>89</v>
      </c>
      <c r="R39" s="11" t="s">
        <v>90</v>
      </c>
      <c r="S39" s="11" t="s">
        <v>83</v>
      </c>
      <c r="T39" s="11" t="s">
        <v>82</v>
      </c>
      <c r="U39" s="12">
        <v>0.05</v>
      </c>
      <c r="V39" s="12">
        <v>0</v>
      </c>
      <c r="W39" s="24">
        <v>30</v>
      </c>
      <c r="X39" t="s">
        <v>196</v>
      </c>
      <c r="Y39" t="s">
        <v>92</v>
      </c>
    </row>
    <row r="40" spans="1:25" x14ac:dyDescent="0.25">
      <c r="B40" s="11" t="s">
        <v>197</v>
      </c>
      <c r="C40" s="11" t="s">
        <v>198</v>
      </c>
      <c r="D40" s="12">
        <v>1</v>
      </c>
      <c r="E40" s="23">
        <v>33200</v>
      </c>
      <c r="F40" s="11" t="s">
        <v>82</v>
      </c>
      <c r="G40" s="24">
        <v>166</v>
      </c>
      <c r="H40" s="12">
        <v>1.9105038592046402</v>
      </c>
      <c r="I40" s="11" t="s">
        <v>83</v>
      </c>
      <c r="J40" s="11" t="s">
        <v>84</v>
      </c>
      <c r="K40" s="12">
        <v>1</v>
      </c>
      <c r="L40" s="12">
        <v>10</v>
      </c>
      <c r="M40" s="11" t="s">
        <v>85</v>
      </c>
      <c r="N40" s="11" t="s">
        <v>86</v>
      </c>
      <c r="O40" s="11" t="s">
        <v>87</v>
      </c>
      <c r="P40" s="11" t="s">
        <v>88</v>
      </c>
      <c r="Q40" s="11" t="s">
        <v>89</v>
      </c>
      <c r="R40" s="11" t="s">
        <v>90</v>
      </c>
      <c r="S40" s="11" t="s">
        <v>83</v>
      </c>
      <c r="T40" s="11" t="s">
        <v>82</v>
      </c>
      <c r="U40" s="12">
        <v>0.05</v>
      </c>
      <c r="V40" s="12">
        <v>0</v>
      </c>
      <c r="W40" s="24">
        <v>30</v>
      </c>
      <c r="X40" t="s">
        <v>199</v>
      </c>
      <c r="Y40" t="s">
        <v>92</v>
      </c>
    </row>
    <row r="41" spans="1:25" x14ac:dyDescent="0.25">
      <c r="B41" s="11" t="s">
        <v>200</v>
      </c>
      <c r="C41" s="11" t="s">
        <v>201</v>
      </c>
      <c r="D41" s="12" t="s">
        <v>101</v>
      </c>
      <c r="E41" s="23">
        <f>AVERAGE(E38:E40)</f>
        <v>32933.333333333336</v>
      </c>
      <c r="G41" s="24" t="s">
        <v>102</v>
      </c>
      <c r="H41" s="12">
        <f>STDEV(E38:E40)/AVERAGE(E38:E40)*100</f>
        <v>0.92764690181292297</v>
      </c>
    </row>
    <row r="42" spans="1:25" x14ac:dyDescent="0.25">
      <c r="A42" t="s">
        <v>758</v>
      </c>
      <c r="C42" s="11" t="s">
        <v>759</v>
      </c>
      <c r="E42" s="23" t="s">
        <v>760</v>
      </c>
      <c r="P42" s="11" t="s">
        <v>797</v>
      </c>
    </row>
    <row r="43" spans="1:25" ht="38.25" x14ac:dyDescent="0.25">
      <c r="A43" s="5" t="s">
        <v>42</v>
      </c>
      <c r="B43" s="6" t="s">
        <v>43</v>
      </c>
      <c r="C43" s="7" t="s">
        <v>44</v>
      </c>
      <c r="D43" s="7" t="s">
        <v>45</v>
      </c>
      <c r="E43" s="8" t="s">
        <v>46</v>
      </c>
      <c r="F43" s="9" t="s">
        <v>47</v>
      </c>
      <c r="G43" s="10" t="s">
        <v>48</v>
      </c>
      <c r="H43" s="10" t="s">
        <v>781</v>
      </c>
      <c r="K43" s="12" t="s">
        <v>774</v>
      </c>
      <c r="L43" s="11"/>
      <c r="M43" s="11" t="s">
        <v>773</v>
      </c>
      <c r="N43" s="12" t="s">
        <v>472</v>
      </c>
      <c r="P43" s="106" t="s">
        <v>798</v>
      </c>
      <c r="Q43" s="11" t="s">
        <v>472</v>
      </c>
    </row>
    <row r="44" spans="1:25" x14ac:dyDescent="0.25">
      <c r="A44" s="13" t="s">
        <v>746</v>
      </c>
      <c r="B44" s="14">
        <v>1</v>
      </c>
      <c r="C44" s="15">
        <f>E5</f>
        <v>47366.666666666664</v>
      </c>
      <c r="D44" s="16">
        <v>5.0999999999999996</v>
      </c>
      <c r="E44" s="17">
        <f>H5</f>
        <v>9.8172194332261036</v>
      </c>
      <c r="F44" s="15">
        <f t="shared" ref="F44:F47" si="0">C44*D44</f>
        <v>241569.99999999997</v>
      </c>
      <c r="G44" s="149" t="s">
        <v>51</v>
      </c>
      <c r="H44" s="150"/>
      <c r="I44" s="18"/>
      <c r="J44" s="19"/>
      <c r="K44" s="12">
        <f>LOG(F44)</f>
        <v>5.3830429993057436</v>
      </c>
      <c r="L44" s="11"/>
      <c r="M44" s="12">
        <f>(LOG(GEOMEAN(F45:F47)))-(LOG(GEOMEAN(F48:F52)))</f>
        <v>5.2102902383260004</v>
      </c>
      <c r="N44" s="90">
        <f>SQRT(VAR(K45:K47)/3+(VAR(K48:K52)/5))</f>
        <v>1.8048978300117091E-2</v>
      </c>
      <c r="P44" s="12">
        <f>AVERAGE(K45:K47)</f>
        <v>5.2102902383260004</v>
      </c>
      <c r="Q44" s="12">
        <f>SQRT(VAR(K45:K47)/3)</f>
        <v>1.8048978300117091E-2</v>
      </c>
    </row>
    <row r="45" spans="1:25" x14ac:dyDescent="0.25">
      <c r="A45" s="148" t="s">
        <v>745</v>
      </c>
      <c r="B45" s="14">
        <v>1</v>
      </c>
      <c r="C45" s="15">
        <f>E9</f>
        <v>35000</v>
      </c>
      <c r="D45" s="16">
        <v>4.9000000000000004</v>
      </c>
      <c r="E45" s="17">
        <f>H9</f>
        <v>14.591023239775661</v>
      </c>
      <c r="F45" s="15">
        <f t="shared" si="0"/>
        <v>171500</v>
      </c>
      <c r="G45" s="151">
        <f>AVERAGE(F45:F47)</f>
        <v>162566.66666666666</v>
      </c>
      <c r="H45" s="153">
        <f>STDEV(F45:F47)</f>
        <v>11493.621419436666</v>
      </c>
      <c r="K45" s="12">
        <f t="shared" ref="K45:K52" si="1">LOG(F45)</f>
        <v>5.2342641243787895</v>
      </c>
      <c r="L45" s="11"/>
      <c r="N45" s="12"/>
    </row>
    <row r="46" spans="1:25" x14ac:dyDescent="0.25">
      <c r="A46" s="148"/>
      <c r="B46" s="14">
        <v>2</v>
      </c>
      <c r="C46" s="15">
        <f>E13</f>
        <v>39666.666666666664</v>
      </c>
      <c r="D46" s="16">
        <v>4.2</v>
      </c>
      <c r="E46" s="17">
        <f>H13</f>
        <v>2.5377594740405884</v>
      </c>
      <c r="F46" s="15">
        <f t="shared" si="0"/>
        <v>166600</v>
      </c>
      <c r="G46" s="152"/>
      <c r="H46" s="154"/>
      <c r="I46" s="21">
        <f>G45/F44</f>
        <v>0.67295883870789697</v>
      </c>
      <c r="J46" s="22" t="s">
        <v>52</v>
      </c>
      <c r="K46" s="12">
        <f t="shared" si="1"/>
        <v>5.2216749970707692</v>
      </c>
      <c r="L46" s="11"/>
      <c r="N46" s="12"/>
    </row>
    <row r="47" spans="1:25" x14ac:dyDescent="0.25">
      <c r="A47" s="148"/>
      <c r="B47" s="14">
        <v>3</v>
      </c>
      <c r="C47" s="15">
        <f>E17</f>
        <v>22000</v>
      </c>
      <c r="D47" s="16">
        <v>6.8</v>
      </c>
      <c r="E47" s="17">
        <f>H17</f>
        <v>9.447549859466605</v>
      </c>
      <c r="F47" s="15">
        <f t="shared" si="0"/>
        <v>149600</v>
      </c>
      <c r="G47" s="152"/>
      <c r="H47" s="154"/>
      <c r="I47" s="18"/>
      <c r="J47" s="20"/>
      <c r="K47" s="12">
        <f t="shared" si="1"/>
        <v>5.1749315935284423</v>
      </c>
      <c r="L47" s="11"/>
      <c r="N47" s="12"/>
    </row>
    <row r="48" spans="1:25" x14ac:dyDescent="0.25">
      <c r="A48" s="148" t="s">
        <v>747</v>
      </c>
      <c r="B48" s="14">
        <v>1</v>
      </c>
      <c r="C48" s="65"/>
      <c r="D48" s="17"/>
      <c r="E48" s="15"/>
      <c r="F48" s="91">
        <v>1</v>
      </c>
      <c r="G48" s="145">
        <v>0</v>
      </c>
      <c r="H48" s="147">
        <f>STDEV(F48:F52)</f>
        <v>0</v>
      </c>
      <c r="K48" s="12">
        <f t="shared" si="1"/>
        <v>0</v>
      </c>
      <c r="L48" s="11"/>
      <c r="N48" s="12"/>
    </row>
    <row r="49" spans="1:14" x14ac:dyDescent="0.25">
      <c r="A49" s="148"/>
      <c r="B49" s="14">
        <v>2</v>
      </c>
      <c r="C49" s="65"/>
      <c r="D49" s="17"/>
      <c r="E49" s="15"/>
      <c r="F49" s="91">
        <v>1</v>
      </c>
      <c r="G49" s="146"/>
      <c r="H49" s="146"/>
      <c r="K49" s="12">
        <f t="shared" si="1"/>
        <v>0</v>
      </c>
      <c r="L49" s="11"/>
      <c r="N49" s="12"/>
    </row>
    <row r="50" spans="1:14" x14ac:dyDescent="0.25">
      <c r="A50" s="148"/>
      <c r="B50" s="14">
        <v>3</v>
      </c>
      <c r="C50" s="65"/>
      <c r="D50" s="17"/>
      <c r="E50" s="15"/>
      <c r="F50" s="91">
        <v>1</v>
      </c>
      <c r="G50" s="146"/>
      <c r="H50" s="146"/>
      <c r="K50" s="12">
        <f t="shared" si="1"/>
        <v>0</v>
      </c>
      <c r="L50" s="11"/>
      <c r="N50" s="12"/>
    </row>
    <row r="51" spans="1:14" x14ac:dyDescent="0.25">
      <c r="A51" s="148"/>
      <c r="B51" s="14">
        <v>4</v>
      </c>
      <c r="C51" s="65"/>
      <c r="D51" s="17"/>
      <c r="E51" s="15"/>
      <c r="F51" s="91">
        <v>1</v>
      </c>
      <c r="G51" s="146"/>
      <c r="H51" s="146"/>
      <c r="K51" s="12">
        <f t="shared" si="1"/>
        <v>0</v>
      </c>
      <c r="L51" s="11"/>
      <c r="N51" s="12"/>
    </row>
    <row r="52" spans="1:14" x14ac:dyDescent="0.25">
      <c r="A52" s="148"/>
      <c r="B52" s="14">
        <v>5</v>
      </c>
      <c r="C52" s="65"/>
      <c r="D52" s="17"/>
      <c r="E52" s="15"/>
      <c r="F52" s="91">
        <v>1</v>
      </c>
      <c r="G52" s="123"/>
      <c r="H52" s="123"/>
      <c r="K52" s="12">
        <f t="shared" si="1"/>
        <v>0</v>
      </c>
      <c r="L52" s="11"/>
      <c r="N52" s="12"/>
    </row>
    <row r="54" spans="1:14" x14ac:dyDescent="0.25">
      <c r="F54" s="92" t="s">
        <v>775</v>
      </c>
      <c r="G54" s="23"/>
      <c r="H54" s="11"/>
      <c r="J54" s="24"/>
      <c r="K54" s="24" t="s">
        <v>779</v>
      </c>
      <c r="L54" s="11"/>
    </row>
    <row r="55" spans="1:14" x14ac:dyDescent="0.25">
      <c r="A55" s="25" t="s">
        <v>744</v>
      </c>
      <c r="F55" s="23" t="s">
        <v>776</v>
      </c>
      <c r="G55" s="12"/>
      <c r="H55" s="11"/>
      <c r="J55" s="24"/>
      <c r="L55" s="11"/>
    </row>
    <row r="56" spans="1:14" x14ac:dyDescent="0.25">
      <c r="A56" s="25" t="s">
        <v>55</v>
      </c>
      <c r="F56" s="23" t="s">
        <v>777</v>
      </c>
      <c r="G56" s="23"/>
      <c r="H56" s="11"/>
      <c r="J56" s="24"/>
      <c r="L56" s="11"/>
    </row>
    <row r="57" spans="1:14" x14ac:dyDescent="0.25">
      <c r="A57" t="s">
        <v>743</v>
      </c>
    </row>
    <row r="58" spans="1:14" x14ac:dyDescent="0.25">
      <c r="B58" s="11" t="s">
        <v>808</v>
      </c>
      <c r="C58" s="11" t="s">
        <v>810</v>
      </c>
      <c r="D58" s="12" t="s">
        <v>809</v>
      </c>
    </row>
    <row r="59" spans="1:14" x14ac:dyDescent="0.25">
      <c r="A59" t="s">
        <v>799</v>
      </c>
      <c r="B59" s="11">
        <f>LOG(F45)</f>
        <v>5.2342641243787895</v>
      </c>
      <c r="C59" s="12">
        <f>AVERAGE(B59:B61)</f>
        <v>5.2102902383260004</v>
      </c>
      <c r="D59" s="12">
        <f>STDEV(B59:B61)</f>
        <v>3.1261747440510954E-2</v>
      </c>
    </row>
    <row r="60" spans="1:14" x14ac:dyDescent="0.25">
      <c r="B60" s="11">
        <f t="shared" ref="B60:B66" si="2">LOG(F46)</f>
        <v>5.2216749970707692</v>
      </c>
    </row>
    <row r="61" spans="1:14" x14ac:dyDescent="0.25">
      <c r="B61" s="11">
        <f t="shared" si="2"/>
        <v>5.1749315935284423</v>
      </c>
    </row>
    <row r="62" spans="1:14" x14ac:dyDescent="0.25">
      <c r="A62" t="s">
        <v>807</v>
      </c>
      <c r="B62" s="11">
        <f t="shared" si="2"/>
        <v>0</v>
      </c>
      <c r="C62" s="11">
        <f>AVERAGE(B62:B66)</f>
        <v>0</v>
      </c>
      <c r="D62" s="12">
        <f>STDEV(B62:B66)</f>
        <v>0</v>
      </c>
    </row>
    <row r="63" spans="1:14" x14ac:dyDescent="0.25">
      <c r="B63" s="11">
        <f t="shared" si="2"/>
        <v>0</v>
      </c>
    </row>
    <row r="64" spans="1:14" x14ac:dyDescent="0.25">
      <c r="B64" s="11">
        <f t="shared" si="2"/>
        <v>0</v>
      </c>
    </row>
    <row r="65" spans="2:2" x14ac:dyDescent="0.25">
      <c r="B65" s="11">
        <f t="shared" si="2"/>
        <v>0</v>
      </c>
    </row>
    <row r="66" spans="2:2" x14ac:dyDescent="0.25">
      <c r="B66" s="11">
        <f t="shared" si="2"/>
        <v>0</v>
      </c>
    </row>
  </sheetData>
  <mergeCells count="7">
    <mergeCell ref="G48:G52"/>
    <mergeCell ref="H48:H52"/>
    <mergeCell ref="A48:A52"/>
    <mergeCell ref="G44:H44"/>
    <mergeCell ref="A45:A47"/>
    <mergeCell ref="G45:G47"/>
    <mergeCell ref="H45:H4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"/>
  <sheetViews>
    <sheetView topLeftCell="A37" workbookViewId="0">
      <selection activeCell="B62" sqref="B62:B66"/>
    </sheetView>
  </sheetViews>
  <sheetFormatPr defaultRowHeight="15" x14ac:dyDescent="0.25"/>
  <cols>
    <col min="1" max="1" width="23.42578125" bestFit="1" customWidth="1"/>
    <col min="2" max="2" width="9.140625" style="11"/>
    <col min="3" max="3" width="19.140625" style="11" customWidth="1"/>
    <col min="4" max="4" width="19.42578125" style="11" customWidth="1"/>
    <col min="5" max="5" width="9.140625" style="12"/>
    <col min="6" max="6" width="11" style="23" bestFit="1" customWidth="1"/>
    <col min="7" max="9" width="9.140625" style="11"/>
    <col min="10" max="10" width="9.140625" style="24"/>
    <col min="11" max="11" width="9.140625" style="12"/>
    <col min="12" max="13" width="9.140625" style="11"/>
    <col min="14" max="15" width="9.140625" style="12"/>
    <col min="16" max="16" width="9.140625" style="11"/>
    <col min="17" max="17" width="13.28515625" style="11" customWidth="1"/>
    <col min="18" max="23" width="9.140625" style="11"/>
    <col min="24" max="25" width="9.140625" style="12"/>
    <col min="26" max="26" width="9.140625" style="24"/>
    <col min="27" max="27" width="23.140625" customWidth="1"/>
    <col min="259" max="259" width="19.140625" customWidth="1"/>
    <col min="260" max="260" width="19.42578125" customWidth="1"/>
    <col min="273" max="273" width="13.28515625" customWidth="1"/>
    <col min="283" max="283" width="23.140625" customWidth="1"/>
    <col min="515" max="515" width="19.140625" customWidth="1"/>
    <col min="516" max="516" width="19.42578125" customWidth="1"/>
    <col min="529" max="529" width="13.28515625" customWidth="1"/>
    <col min="539" max="539" width="23.140625" customWidth="1"/>
    <col min="771" max="771" width="19.140625" customWidth="1"/>
    <col min="772" max="772" width="19.42578125" customWidth="1"/>
    <col min="785" max="785" width="13.28515625" customWidth="1"/>
    <col min="795" max="795" width="23.140625" customWidth="1"/>
    <col min="1027" max="1027" width="19.140625" customWidth="1"/>
    <col min="1028" max="1028" width="19.42578125" customWidth="1"/>
    <col min="1041" max="1041" width="13.28515625" customWidth="1"/>
    <col min="1051" max="1051" width="23.140625" customWidth="1"/>
    <col min="1283" max="1283" width="19.140625" customWidth="1"/>
    <col min="1284" max="1284" width="19.42578125" customWidth="1"/>
    <col min="1297" max="1297" width="13.28515625" customWidth="1"/>
    <col min="1307" max="1307" width="23.140625" customWidth="1"/>
    <col min="1539" max="1539" width="19.140625" customWidth="1"/>
    <col min="1540" max="1540" width="19.42578125" customWidth="1"/>
    <col min="1553" max="1553" width="13.28515625" customWidth="1"/>
    <col min="1563" max="1563" width="23.140625" customWidth="1"/>
    <col min="1795" max="1795" width="19.140625" customWidth="1"/>
    <col min="1796" max="1796" width="19.42578125" customWidth="1"/>
    <col min="1809" max="1809" width="13.28515625" customWidth="1"/>
    <col min="1819" max="1819" width="23.140625" customWidth="1"/>
    <col min="2051" max="2051" width="19.140625" customWidth="1"/>
    <col min="2052" max="2052" width="19.42578125" customWidth="1"/>
    <col min="2065" max="2065" width="13.28515625" customWidth="1"/>
    <col min="2075" max="2075" width="23.140625" customWidth="1"/>
    <col min="2307" max="2307" width="19.140625" customWidth="1"/>
    <col min="2308" max="2308" width="19.42578125" customWidth="1"/>
    <col min="2321" max="2321" width="13.28515625" customWidth="1"/>
    <col min="2331" max="2331" width="23.140625" customWidth="1"/>
    <col min="2563" max="2563" width="19.140625" customWidth="1"/>
    <col min="2564" max="2564" width="19.42578125" customWidth="1"/>
    <col min="2577" max="2577" width="13.28515625" customWidth="1"/>
    <col min="2587" max="2587" width="23.140625" customWidth="1"/>
    <col min="2819" max="2819" width="19.140625" customWidth="1"/>
    <col min="2820" max="2820" width="19.42578125" customWidth="1"/>
    <col min="2833" max="2833" width="13.28515625" customWidth="1"/>
    <col min="2843" max="2843" width="23.140625" customWidth="1"/>
    <col min="3075" max="3075" width="19.140625" customWidth="1"/>
    <col min="3076" max="3076" width="19.42578125" customWidth="1"/>
    <col min="3089" max="3089" width="13.28515625" customWidth="1"/>
    <col min="3099" max="3099" width="23.140625" customWidth="1"/>
    <col min="3331" max="3331" width="19.140625" customWidth="1"/>
    <col min="3332" max="3332" width="19.42578125" customWidth="1"/>
    <col min="3345" max="3345" width="13.28515625" customWidth="1"/>
    <col min="3355" max="3355" width="23.140625" customWidth="1"/>
    <col min="3587" max="3587" width="19.140625" customWidth="1"/>
    <col min="3588" max="3588" width="19.42578125" customWidth="1"/>
    <col min="3601" max="3601" width="13.28515625" customWidth="1"/>
    <col min="3611" max="3611" width="23.140625" customWidth="1"/>
    <col min="3843" max="3843" width="19.140625" customWidth="1"/>
    <col min="3844" max="3844" width="19.42578125" customWidth="1"/>
    <col min="3857" max="3857" width="13.28515625" customWidth="1"/>
    <col min="3867" max="3867" width="23.140625" customWidth="1"/>
    <col min="4099" max="4099" width="19.140625" customWidth="1"/>
    <col min="4100" max="4100" width="19.42578125" customWidth="1"/>
    <col min="4113" max="4113" width="13.28515625" customWidth="1"/>
    <col min="4123" max="4123" width="23.140625" customWidth="1"/>
    <col min="4355" max="4355" width="19.140625" customWidth="1"/>
    <col min="4356" max="4356" width="19.42578125" customWidth="1"/>
    <col min="4369" max="4369" width="13.28515625" customWidth="1"/>
    <col min="4379" max="4379" width="23.140625" customWidth="1"/>
    <col min="4611" max="4611" width="19.140625" customWidth="1"/>
    <col min="4612" max="4612" width="19.42578125" customWidth="1"/>
    <col min="4625" max="4625" width="13.28515625" customWidth="1"/>
    <col min="4635" max="4635" width="23.140625" customWidth="1"/>
    <col min="4867" max="4867" width="19.140625" customWidth="1"/>
    <col min="4868" max="4868" width="19.42578125" customWidth="1"/>
    <col min="4881" max="4881" width="13.28515625" customWidth="1"/>
    <col min="4891" max="4891" width="23.140625" customWidth="1"/>
    <col min="5123" max="5123" width="19.140625" customWidth="1"/>
    <col min="5124" max="5124" width="19.42578125" customWidth="1"/>
    <col min="5137" max="5137" width="13.28515625" customWidth="1"/>
    <col min="5147" max="5147" width="23.140625" customWidth="1"/>
    <col min="5379" max="5379" width="19.140625" customWidth="1"/>
    <col min="5380" max="5380" width="19.42578125" customWidth="1"/>
    <col min="5393" max="5393" width="13.28515625" customWidth="1"/>
    <col min="5403" max="5403" width="23.140625" customWidth="1"/>
    <col min="5635" max="5635" width="19.140625" customWidth="1"/>
    <col min="5636" max="5636" width="19.42578125" customWidth="1"/>
    <col min="5649" max="5649" width="13.28515625" customWidth="1"/>
    <col min="5659" max="5659" width="23.140625" customWidth="1"/>
    <col min="5891" max="5891" width="19.140625" customWidth="1"/>
    <col min="5892" max="5892" width="19.42578125" customWidth="1"/>
    <col min="5905" max="5905" width="13.28515625" customWidth="1"/>
    <col min="5915" max="5915" width="23.140625" customWidth="1"/>
    <col min="6147" max="6147" width="19.140625" customWidth="1"/>
    <col min="6148" max="6148" width="19.42578125" customWidth="1"/>
    <col min="6161" max="6161" width="13.28515625" customWidth="1"/>
    <col min="6171" max="6171" width="23.140625" customWidth="1"/>
    <col min="6403" max="6403" width="19.140625" customWidth="1"/>
    <col min="6404" max="6404" width="19.42578125" customWidth="1"/>
    <col min="6417" max="6417" width="13.28515625" customWidth="1"/>
    <col min="6427" max="6427" width="23.140625" customWidth="1"/>
    <col min="6659" max="6659" width="19.140625" customWidth="1"/>
    <col min="6660" max="6660" width="19.42578125" customWidth="1"/>
    <col min="6673" max="6673" width="13.28515625" customWidth="1"/>
    <col min="6683" max="6683" width="23.140625" customWidth="1"/>
    <col min="6915" max="6915" width="19.140625" customWidth="1"/>
    <col min="6916" max="6916" width="19.42578125" customWidth="1"/>
    <col min="6929" max="6929" width="13.28515625" customWidth="1"/>
    <col min="6939" max="6939" width="23.140625" customWidth="1"/>
    <col min="7171" max="7171" width="19.140625" customWidth="1"/>
    <col min="7172" max="7172" width="19.42578125" customWidth="1"/>
    <col min="7185" max="7185" width="13.28515625" customWidth="1"/>
    <col min="7195" max="7195" width="23.140625" customWidth="1"/>
    <col min="7427" max="7427" width="19.140625" customWidth="1"/>
    <col min="7428" max="7428" width="19.42578125" customWidth="1"/>
    <col min="7441" max="7441" width="13.28515625" customWidth="1"/>
    <col min="7451" max="7451" width="23.140625" customWidth="1"/>
    <col min="7683" max="7683" width="19.140625" customWidth="1"/>
    <col min="7684" max="7684" width="19.42578125" customWidth="1"/>
    <col min="7697" max="7697" width="13.28515625" customWidth="1"/>
    <col min="7707" max="7707" width="23.140625" customWidth="1"/>
    <col min="7939" max="7939" width="19.140625" customWidth="1"/>
    <col min="7940" max="7940" width="19.42578125" customWidth="1"/>
    <col min="7953" max="7953" width="13.28515625" customWidth="1"/>
    <col min="7963" max="7963" width="23.140625" customWidth="1"/>
    <col min="8195" max="8195" width="19.140625" customWidth="1"/>
    <col min="8196" max="8196" width="19.42578125" customWidth="1"/>
    <col min="8209" max="8209" width="13.28515625" customWidth="1"/>
    <col min="8219" max="8219" width="23.140625" customWidth="1"/>
    <col min="8451" max="8451" width="19.140625" customWidth="1"/>
    <col min="8452" max="8452" width="19.42578125" customWidth="1"/>
    <col min="8465" max="8465" width="13.28515625" customWidth="1"/>
    <col min="8475" max="8475" width="23.140625" customWidth="1"/>
    <col min="8707" max="8707" width="19.140625" customWidth="1"/>
    <col min="8708" max="8708" width="19.42578125" customWidth="1"/>
    <col min="8721" max="8721" width="13.28515625" customWidth="1"/>
    <col min="8731" max="8731" width="23.140625" customWidth="1"/>
    <col min="8963" max="8963" width="19.140625" customWidth="1"/>
    <col min="8964" max="8964" width="19.42578125" customWidth="1"/>
    <col min="8977" max="8977" width="13.28515625" customWidth="1"/>
    <col min="8987" max="8987" width="23.140625" customWidth="1"/>
    <col min="9219" max="9219" width="19.140625" customWidth="1"/>
    <col min="9220" max="9220" width="19.42578125" customWidth="1"/>
    <col min="9233" max="9233" width="13.28515625" customWidth="1"/>
    <col min="9243" max="9243" width="23.140625" customWidth="1"/>
    <col min="9475" max="9475" width="19.140625" customWidth="1"/>
    <col min="9476" max="9476" width="19.42578125" customWidth="1"/>
    <col min="9489" max="9489" width="13.28515625" customWidth="1"/>
    <col min="9499" max="9499" width="23.140625" customWidth="1"/>
    <col min="9731" max="9731" width="19.140625" customWidth="1"/>
    <col min="9732" max="9732" width="19.42578125" customWidth="1"/>
    <col min="9745" max="9745" width="13.28515625" customWidth="1"/>
    <col min="9755" max="9755" width="23.140625" customWidth="1"/>
    <col min="9987" max="9987" width="19.140625" customWidth="1"/>
    <col min="9988" max="9988" width="19.42578125" customWidth="1"/>
    <col min="10001" max="10001" width="13.28515625" customWidth="1"/>
    <col min="10011" max="10011" width="23.140625" customWidth="1"/>
    <col min="10243" max="10243" width="19.140625" customWidth="1"/>
    <col min="10244" max="10244" width="19.42578125" customWidth="1"/>
    <col min="10257" max="10257" width="13.28515625" customWidth="1"/>
    <col min="10267" max="10267" width="23.140625" customWidth="1"/>
    <col min="10499" max="10499" width="19.140625" customWidth="1"/>
    <col min="10500" max="10500" width="19.42578125" customWidth="1"/>
    <col min="10513" max="10513" width="13.28515625" customWidth="1"/>
    <col min="10523" max="10523" width="23.140625" customWidth="1"/>
    <col min="10755" max="10755" width="19.140625" customWidth="1"/>
    <col min="10756" max="10756" width="19.42578125" customWidth="1"/>
    <col min="10769" max="10769" width="13.28515625" customWidth="1"/>
    <col min="10779" max="10779" width="23.140625" customWidth="1"/>
    <col min="11011" max="11011" width="19.140625" customWidth="1"/>
    <col min="11012" max="11012" width="19.42578125" customWidth="1"/>
    <col min="11025" max="11025" width="13.28515625" customWidth="1"/>
    <col min="11035" max="11035" width="23.140625" customWidth="1"/>
    <col min="11267" max="11267" width="19.140625" customWidth="1"/>
    <col min="11268" max="11268" width="19.42578125" customWidth="1"/>
    <col min="11281" max="11281" width="13.28515625" customWidth="1"/>
    <col min="11291" max="11291" width="23.140625" customWidth="1"/>
    <col min="11523" max="11523" width="19.140625" customWidth="1"/>
    <col min="11524" max="11524" width="19.42578125" customWidth="1"/>
    <col min="11537" max="11537" width="13.28515625" customWidth="1"/>
    <col min="11547" max="11547" width="23.140625" customWidth="1"/>
    <col min="11779" max="11779" width="19.140625" customWidth="1"/>
    <col min="11780" max="11780" width="19.42578125" customWidth="1"/>
    <col min="11793" max="11793" width="13.28515625" customWidth="1"/>
    <col min="11803" max="11803" width="23.140625" customWidth="1"/>
    <col min="12035" max="12035" width="19.140625" customWidth="1"/>
    <col min="12036" max="12036" width="19.42578125" customWidth="1"/>
    <col min="12049" max="12049" width="13.28515625" customWidth="1"/>
    <col min="12059" max="12059" width="23.140625" customWidth="1"/>
    <col min="12291" max="12291" width="19.140625" customWidth="1"/>
    <col min="12292" max="12292" width="19.42578125" customWidth="1"/>
    <col min="12305" max="12305" width="13.28515625" customWidth="1"/>
    <col min="12315" max="12315" width="23.140625" customWidth="1"/>
    <col min="12547" max="12547" width="19.140625" customWidth="1"/>
    <col min="12548" max="12548" width="19.42578125" customWidth="1"/>
    <col min="12561" max="12561" width="13.28515625" customWidth="1"/>
    <col min="12571" max="12571" width="23.140625" customWidth="1"/>
    <col min="12803" max="12803" width="19.140625" customWidth="1"/>
    <col min="12804" max="12804" width="19.42578125" customWidth="1"/>
    <col min="12817" max="12817" width="13.28515625" customWidth="1"/>
    <col min="12827" max="12827" width="23.140625" customWidth="1"/>
    <col min="13059" max="13059" width="19.140625" customWidth="1"/>
    <col min="13060" max="13060" width="19.42578125" customWidth="1"/>
    <col min="13073" max="13073" width="13.28515625" customWidth="1"/>
    <col min="13083" max="13083" width="23.140625" customWidth="1"/>
    <col min="13315" max="13315" width="19.140625" customWidth="1"/>
    <col min="13316" max="13316" width="19.42578125" customWidth="1"/>
    <col min="13329" max="13329" width="13.28515625" customWidth="1"/>
    <col min="13339" max="13339" width="23.140625" customWidth="1"/>
    <col min="13571" max="13571" width="19.140625" customWidth="1"/>
    <col min="13572" max="13572" width="19.42578125" customWidth="1"/>
    <col min="13585" max="13585" width="13.28515625" customWidth="1"/>
    <col min="13595" max="13595" width="23.140625" customWidth="1"/>
    <col min="13827" max="13827" width="19.140625" customWidth="1"/>
    <col min="13828" max="13828" width="19.42578125" customWidth="1"/>
    <col min="13841" max="13841" width="13.28515625" customWidth="1"/>
    <col min="13851" max="13851" width="23.140625" customWidth="1"/>
    <col min="14083" max="14083" width="19.140625" customWidth="1"/>
    <col min="14084" max="14084" width="19.42578125" customWidth="1"/>
    <col min="14097" max="14097" width="13.28515625" customWidth="1"/>
    <col min="14107" max="14107" width="23.140625" customWidth="1"/>
    <col min="14339" max="14339" width="19.140625" customWidth="1"/>
    <col min="14340" max="14340" width="19.42578125" customWidth="1"/>
    <col min="14353" max="14353" width="13.28515625" customWidth="1"/>
    <col min="14363" max="14363" width="23.140625" customWidth="1"/>
    <col min="14595" max="14595" width="19.140625" customWidth="1"/>
    <col min="14596" max="14596" width="19.42578125" customWidth="1"/>
    <col min="14609" max="14609" width="13.28515625" customWidth="1"/>
    <col min="14619" max="14619" width="23.140625" customWidth="1"/>
    <col min="14851" max="14851" width="19.140625" customWidth="1"/>
    <col min="14852" max="14852" width="19.42578125" customWidth="1"/>
    <col min="14865" max="14865" width="13.28515625" customWidth="1"/>
    <col min="14875" max="14875" width="23.140625" customWidth="1"/>
    <col min="15107" max="15107" width="19.140625" customWidth="1"/>
    <col min="15108" max="15108" width="19.42578125" customWidth="1"/>
    <col min="15121" max="15121" width="13.28515625" customWidth="1"/>
    <col min="15131" max="15131" width="23.140625" customWidth="1"/>
    <col min="15363" max="15363" width="19.140625" customWidth="1"/>
    <col min="15364" max="15364" width="19.42578125" customWidth="1"/>
    <col min="15377" max="15377" width="13.28515625" customWidth="1"/>
    <col min="15387" max="15387" width="23.140625" customWidth="1"/>
    <col min="15619" max="15619" width="19.140625" customWidth="1"/>
    <col min="15620" max="15620" width="19.42578125" customWidth="1"/>
    <col min="15633" max="15633" width="13.28515625" customWidth="1"/>
    <col min="15643" max="15643" width="23.140625" customWidth="1"/>
    <col min="15875" max="15875" width="19.140625" customWidth="1"/>
    <col min="15876" max="15876" width="19.42578125" customWidth="1"/>
    <col min="15889" max="15889" width="13.28515625" customWidth="1"/>
    <col min="15899" max="15899" width="23.140625" customWidth="1"/>
    <col min="16131" max="16131" width="19.140625" customWidth="1"/>
    <col min="16132" max="16132" width="19.42578125" customWidth="1"/>
    <col min="16145" max="16145" width="13.28515625" customWidth="1"/>
    <col min="16155" max="16155" width="23.140625" customWidth="1"/>
  </cols>
  <sheetData>
    <row r="1" spans="1:28" x14ac:dyDescent="0.25">
      <c r="B1" s="28" t="s">
        <v>56</v>
      </c>
      <c r="C1" s="28" t="s">
        <v>202</v>
      </c>
      <c r="D1" s="28" t="s">
        <v>57</v>
      </c>
      <c r="E1" s="29" t="s">
        <v>58</v>
      </c>
      <c r="F1" s="30" t="s">
        <v>59</v>
      </c>
      <c r="G1" s="28" t="s">
        <v>203</v>
      </c>
      <c r="H1" s="28" t="s">
        <v>47</v>
      </c>
      <c r="I1" s="28" t="s">
        <v>204</v>
      </c>
      <c r="J1" s="31" t="s">
        <v>61</v>
      </c>
      <c r="K1" s="29" t="s">
        <v>62</v>
      </c>
      <c r="L1" s="28" t="s">
        <v>63</v>
      </c>
      <c r="M1" s="28" t="s">
        <v>64</v>
      </c>
      <c r="N1" s="29" t="s">
        <v>65</v>
      </c>
      <c r="O1" s="29" t="s">
        <v>66</v>
      </c>
      <c r="P1" s="28" t="s">
        <v>67</v>
      </c>
      <c r="Q1" s="28" t="s">
        <v>68</v>
      </c>
      <c r="R1" s="28" t="s">
        <v>69</v>
      </c>
      <c r="S1" s="28" t="s">
        <v>70</v>
      </c>
      <c r="T1" s="28" t="s">
        <v>71</v>
      </c>
      <c r="U1" s="28" t="s">
        <v>72</v>
      </c>
      <c r="V1" s="28" t="s">
        <v>73</v>
      </c>
      <c r="W1" s="28" t="s">
        <v>74</v>
      </c>
      <c r="X1" s="29" t="s">
        <v>75</v>
      </c>
      <c r="Y1" s="29" t="s">
        <v>76</v>
      </c>
      <c r="Z1" s="31" t="s">
        <v>77</v>
      </c>
      <c r="AA1" s="32" t="s">
        <v>78</v>
      </c>
      <c r="AB1" s="32" t="s">
        <v>79</v>
      </c>
    </row>
    <row r="2" spans="1:28" x14ac:dyDescent="0.25">
      <c r="B2" s="28"/>
      <c r="C2" s="28"/>
      <c r="D2" s="34" t="s">
        <v>205</v>
      </c>
      <c r="E2" s="29"/>
      <c r="F2" s="30"/>
      <c r="G2" s="28"/>
      <c r="H2" s="28"/>
      <c r="I2" s="28"/>
      <c r="J2" s="31"/>
      <c r="K2" s="29"/>
      <c r="L2" s="28"/>
      <c r="M2" s="28"/>
      <c r="N2" s="29"/>
      <c r="O2" s="29"/>
      <c r="P2" s="28"/>
      <c r="Q2" s="28"/>
      <c r="R2" s="28"/>
      <c r="S2" s="28"/>
      <c r="T2" s="28"/>
      <c r="U2" s="28"/>
      <c r="V2" s="28"/>
      <c r="W2" s="28"/>
      <c r="X2" s="29"/>
      <c r="Y2" s="29"/>
      <c r="Z2" s="31"/>
      <c r="AA2" s="32"/>
      <c r="AB2" s="32"/>
    </row>
    <row r="3" spans="1:28" s="33" customFormat="1" x14ac:dyDescent="0.25">
      <c r="A3" s="33" t="s">
        <v>750</v>
      </c>
      <c r="B3" s="11" t="s">
        <v>80</v>
      </c>
      <c r="C3" s="11" t="s">
        <v>206</v>
      </c>
      <c r="D3" s="11" t="s">
        <v>207</v>
      </c>
      <c r="E3" s="12">
        <v>1</v>
      </c>
      <c r="F3" s="23">
        <v>35000</v>
      </c>
      <c r="G3" s="11">
        <v>4.9000000000000004</v>
      </c>
      <c r="H3" s="23">
        <f>F3*G3</f>
        <v>171500</v>
      </c>
      <c r="I3" s="23">
        <f>AVERAGE(H3:H5)</f>
        <v>185873.33333333334</v>
      </c>
      <c r="J3" s="24">
        <v>175</v>
      </c>
      <c r="K3" s="12">
        <v>1.7422966022964705</v>
      </c>
      <c r="L3" s="11" t="s">
        <v>83</v>
      </c>
      <c r="M3" s="11" t="s">
        <v>84</v>
      </c>
      <c r="N3" s="12">
        <v>0.1</v>
      </c>
      <c r="O3" s="12">
        <v>3</v>
      </c>
      <c r="P3" s="11" t="s">
        <v>85</v>
      </c>
      <c r="Q3" s="11" t="s">
        <v>86</v>
      </c>
      <c r="R3" s="11" t="s">
        <v>208</v>
      </c>
      <c r="S3" s="11" t="s">
        <v>209</v>
      </c>
      <c r="T3" s="11" t="s">
        <v>89</v>
      </c>
      <c r="U3" s="11" t="s">
        <v>90</v>
      </c>
      <c r="V3" s="11" t="s">
        <v>83</v>
      </c>
      <c r="W3" s="11" t="s">
        <v>82</v>
      </c>
      <c r="X3" s="12">
        <v>0.05</v>
      </c>
      <c r="Y3" s="12">
        <v>0</v>
      </c>
      <c r="Z3" s="24">
        <v>30</v>
      </c>
      <c r="AA3" s="33" t="s">
        <v>210</v>
      </c>
      <c r="AB3" s="33" t="s">
        <v>92</v>
      </c>
    </row>
    <row r="4" spans="1:28" x14ac:dyDescent="0.25">
      <c r="B4" s="11" t="s">
        <v>103</v>
      </c>
      <c r="C4" s="11" t="s">
        <v>211</v>
      </c>
      <c r="D4" s="11" t="s">
        <v>212</v>
      </c>
      <c r="E4" s="12">
        <v>1</v>
      </c>
      <c r="F4" s="23">
        <v>40200</v>
      </c>
      <c r="G4" s="11">
        <v>4.9000000000000004</v>
      </c>
      <c r="H4" s="23">
        <f>F4*G4</f>
        <v>196980</v>
      </c>
      <c r="J4" s="24">
        <v>201</v>
      </c>
      <c r="K4" s="12">
        <v>1.6448773322614767</v>
      </c>
      <c r="L4" s="11" t="s">
        <v>83</v>
      </c>
      <c r="M4" s="11" t="s">
        <v>84</v>
      </c>
      <c r="N4" s="12">
        <v>0.1</v>
      </c>
      <c r="O4" s="12">
        <v>3</v>
      </c>
      <c r="P4" s="11" t="s">
        <v>85</v>
      </c>
      <c r="Q4" s="11" t="s">
        <v>86</v>
      </c>
      <c r="R4" s="11" t="s">
        <v>208</v>
      </c>
      <c r="S4" s="11" t="s">
        <v>209</v>
      </c>
      <c r="T4" s="11" t="s">
        <v>89</v>
      </c>
      <c r="U4" s="11" t="s">
        <v>90</v>
      </c>
      <c r="V4" s="11" t="s">
        <v>83</v>
      </c>
      <c r="W4" s="11" t="s">
        <v>82</v>
      </c>
      <c r="X4" s="12">
        <v>0.05</v>
      </c>
      <c r="Y4" s="12">
        <v>0</v>
      </c>
      <c r="Z4" s="24">
        <v>30</v>
      </c>
      <c r="AA4" t="s">
        <v>213</v>
      </c>
      <c r="AB4" t="s">
        <v>92</v>
      </c>
    </row>
    <row r="5" spans="1:28" x14ac:dyDescent="0.25">
      <c r="B5" s="11" t="s">
        <v>114</v>
      </c>
      <c r="C5" s="11" t="s">
        <v>214</v>
      </c>
      <c r="D5" s="11" t="s">
        <v>215</v>
      </c>
      <c r="E5" s="12">
        <v>1</v>
      </c>
      <c r="F5" s="23">
        <v>38600</v>
      </c>
      <c r="G5" s="11">
        <v>4.9000000000000004</v>
      </c>
      <c r="H5" s="23">
        <f t="shared" ref="H5:H14" si="0">F5*G5</f>
        <v>189140</v>
      </c>
      <c r="J5" s="24">
        <v>193</v>
      </c>
      <c r="K5" s="12">
        <v>1.6891137771478637</v>
      </c>
      <c r="L5" s="11" t="s">
        <v>83</v>
      </c>
      <c r="M5" s="11" t="s">
        <v>84</v>
      </c>
      <c r="N5" s="12">
        <v>0.1</v>
      </c>
      <c r="O5" s="12">
        <v>3</v>
      </c>
      <c r="P5" s="11" t="s">
        <v>85</v>
      </c>
      <c r="Q5" s="11" t="s">
        <v>86</v>
      </c>
      <c r="R5" s="11" t="s">
        <v>208</v>
      </c>
      <c r="S5" s="11" t="s">
        <v>209</v>
      </c>
      <c r="T5" s="11" t="s">
        <v>89</v>
      </c>
      <c r="U5" s="11" t="s">
        <v>90</v>
      </c>
      <c r="V5" s="11" t="s">
        <v>83</v>
      </c>
      <c r="W5" s="11" t="s">
        <v>82</v>
      </c>
      <c r="X5" s="12">
        <v>0.05</v>
      </c>
      <c r="Y5" s="12">
        <v>0</v>
      </c>
      <c r="Z5" s="24">
        <v>30</v>
      </c>
      <c r="AA5" t="s">
        <v>216</v>
      </c>
      <c r="AB5" t="s">
        <v>92</v>
      </c>
    </row>
    <row r="6" spans="1:28" x14ac:dyDescent="0.25">
      <c r="B6" s="11" t="s">
        <v>125</v>
      </c>
      <c r="C6" s="11" t="s">
        <v>217</v>
      </c>
      <c r="D6" s="11" t="s">
        <v>218</v>
      </c>
      <c r="E6" s="12">
        <v>1</v>
      </c>
      <c r="F6" s="23">
        <v>10400</v>
      </c>
      <c r="G6" s="11">
        <v>6.3</v>
      </c>
      <c r="H6" s="23">
        <f t="shared" si="0"/>
        <v>65520</v>
      </c>
      <c r="I6" s="23">
        <f>AVERAGE(H6:H8)</f>
        <v>71400</v>
      </c>
      <c r="J6" s="24">
        <v>52</v>
      </c>
      <c r="K6" s="12">
        <v>1.836250648161827</v>
      </c>
      <c r="L6" s="11" t="s">
        <v>83</v>
      </c>
      <c r="M6" s="11" t="s">
        <v>84</v>
      </c>
      <c r="N6" s="12">
        <v>0.1</v>
      </c>
      <c r="O6" s="12">
        <v>3</v>
      </c>
      <c r="P6" s="11" t="s">
        <v>85</v>
      </c>
      <c r="Q6" s="11" t="s">
        <v>86</v>
      </c>
      <c r="R6" s="11" t="s">
        <v>208</v>
      </c>
      <c r="S6" s="11" t="s">
        <v>209</v>
      </c>
      <c r="T6" s="11" t="s">
        <v>89</v>
      </c>
      <c r="U6" s="11" t="s">
        <v>90</v>
      </c>
      <c r="V6" s="11" t="s">
        <v>83</v>
      </c>
      <c r="W6" s="11" t="s">
        <v>82</v>
      </c>
      <c r="X6" s="12">
        <v>0.05</v>
      </c>
      <c r="Y6" s="12">
        <v>0</v>
      </c>
      <c r="Z6" s="24">
        <v>30</v>
      </c>
      <c r="AA6" t="s">
        <v>219</v>
      </c>
      <c r="AB6" t="s">
        <v>92</v>
      </c>
    </row>
    <row r="7" spans="1:28" x14ac:dyDescent="0.25">
      <c r="B7" s="11" t="s">
        <v>136</v>
      </c>
      <c r="C7" s="11" t="s">
        <v>220</v>
      </c>
      <c r="D7" s="11" t="s">
        <v>221</v>
      </c>
      <c r="E7" s="12">
        <v>1</v>
      </c>
      <c r="F7" s="23">
        <v>12400</v>
      </c>
      <c r="G7" s="11">
        <v>6.3</v>
      </c>
      <c r="H7" s="23">
        <f t="shared" si="0"/>
        <v>78120</v>
      </c>
      <c r="J7" s="24">
        <v>62</v>
      </c>
      <c r="K7" s="12">
        <v>1.727867207252999</v>
      </c>
      <c r="L7" s="11" t="s">
        <v>83</v>
      </c>
      <c r="M7" s="11" t="s">
        <v>84</v>
      </c>
      <c r="N7" s="12">
        <v>0.1</v>
      </c>
      <c r="O7" s="12">
        <v>3</v>
      </c>
      <c r="P7" s="11" t="s">
        <v>85</v>
      </c>
      <c r="Q7" s="11" t="s">
        <v>86</v>
      </c>
      <c r="R7" s="11" t="s">
        <v>208</v>
      </c>
      <c r="S7" s="11" t="s">
        <v>209</v>
      </c>
      <c r="T7" s="11" t="s">
        <v>89</v>
      </c>
      <c r="U7" s="11" t="s">
        <v>90</v>
      </c>
      <c r="V7" s="11" t="s">
        <v>83</v>
      </c>
      <c r="W7" s="11" t="s">
        <v>82</v>
      </c>
      <c r="X7" s="12">
        <v>0.05</v>
      </c>
      <c r="Y7" s="12">
        <v>0</v>
      </c>
      <c r="Z7" s="24">
        <v>30</v>
      </c>
      <c r="AA7" t="s">
        <v>222</v>
      </c>
      <c r="AB7" t="s">
        <v>92</v>
      </c>
    </row>
    <row r="8" spans="1:28" x14ac:dyDescent="0.25">
      <c r="B8" s="11" t="s">
        <v>147</v>
      </c>
      <c r="C8" s="11" t="s">
        <v>223</v>
      </c>
      <c r="D8" s="11" t="s">
        <v>224</v>
      </c>
      <c r="E8" s="12">
        <v>1</v>
      </c>
      <c r="F8" s="23">
        <v>11200</v>
      </c>
      <c r="G8" s="11">
        <v>6.3</v>
      </c>
      <c r="H8" s="23">
        <f t="shared" si="0"/>
        <v>70560</v>
      </c>
      <c r="J8" s="24">
        <v>56</v>
      </c>
      <c r="K8" s="12">
        <v>1.874030835937269</v>
      </c>
      <c r="L8" s="11" t="s">
        <v>83</v>
      </c>
      <c r="M8" s="11" t="s">
        <v>84</v>
      </c>
      <c r="N8" s="12">
        <v>0.1</v>
      </c>
      <c r="O8" s="12">
        <v>3</v>
      </c>
      <c r="P8" s="11" t="s">
        <v>85</v>
      </c>
      <c r="Q8" s="11" t="s">
        <v>86</v>
      </c>
      <c r="R8" s="11" t="s">
        <v>208</v>
      </c>
      <c r="S8" s="11" t="s">
        <v>209</v>
      </c>
      <c r="T8" s="11" t="s">
        <v>89</v>
      </c>
      <c r="U8" s="11" t="s">
        <v>90</v>
      </c>
      <c r="V8" s="11" t="s">
        <v>83</v>
      </c>
      <c r="W8" s="11" t="s">
        <v>82</v>
      </c>
      <c r="X8" s="12">
        <v>0.05</v>
      </c>
      <c r="Y8" s="12">
        <v>0</v>
      </c>
      <c r="Z8" s="24">
        <v>30</v>
      </c>
      <c r="AA8" t="s">
        <v>225</v>
      </c>
      <c r="AB8" t="s">
        <v>92</v>
      </c>
    </row>
    <row r="9" spans="1:28" x14ac:dyDescent="0.25">
      <c r="B9" s="11" t="s">
        <v>158</v>
      </c>
      <c r="C9" s="11" t="s">
        <v>226</v>
      </c>
      <c r="D9" s="11" t="s">
        <v>227</v>
      </c>
      <c r="E9" s="12">
        <v>1</v>
      </c>
      <c r="F9" s="23">
        <v>21600</v>
      </c>
      <c r="G9" s="11">
        <v>5.6</v>
      </c>
      <c r="H9" s="23">
        <f t="shared" si="0"/>
        <v>120959.99999999999</v>
      </c>
      <c r="I9" s="23">
        <f>AVERAGE(H9:H11)</f>
        <v>117973.33333333333</v>
      </c>
      <c r="J9" s="24">
        <v>108</v>
      </c>
      <c r="K9" s="12">
        <v>1.8605829052760481</v>
      </c>
      <c r="L9" s="11" t="s">
        <v>83</v>
      </c>
      <c r="M9" s="11" t="s">
        <v>84</v>
      </c>
      <c r="N9" s="12">
        <v>0.1</v>
      </c>
      <c r="O9" s="12">
        <v>3</v>
      </c>
      <c r="P9" s="11" t="s">
        <v>85</v>
      </c>
      <c r="Q9" s="11" t="s">
        <v>86</v>
      </c>
      <c r="R9" s="11" t="s">
        <v>208</v>
      </c>
      <c r="S9" s="11" t="s">
        <v>209</v>
      </c>
      <c r="T9" s="11" t="s">
        <v>89</v>
      </c>
      <c r="U9" s="11" t="s">
        <v>90</v>
      </c>
      <c r="V9" s="11" t="s">
        <v>83</v>
      </c>
      <c r="W9" s="11" t="s">
        <v>82</v>
      </c>
      <c r="X9" s="12">
        <v>0.05</v>
      </c>
      <c r="Y9" s="12">
        <v>0</v>
      </c>
      <c r="Z9" s="24">
        <v>30</v>
      </c>
      <c r="AA9" t="s">
        <v>228</v>
      </c>
      <c r="AB9" t="s">
        <v>92</v>
      </c>
    </row>
    <row r="10" spans="1:28" x14ac:dyDescent="0.25">
      <c r="B10" s="11" t="s">
        <v>169</v>
      </c>
      <c r="C10" s="11" t="s">
        <v>229</v>
      </c>
      <c r="D10" s="11" t="s">
        <v>230</v>
      </c>
      <c r="E10" s="12">
        <v>1</v>
      </c>
      <c r="F10" s="23">
        <v>22800</v>
      </c>
      <c r="G10" s="11">
        <v>5.6</v>
      </c>
      <c r="H10" s="23">
        <f t="shared" si="0"/>
        <v>127679.99999999999</v>
      </c>
      <c r="J10" s="24">
        <v>114</v>
      </c>
      <c r="K10" s="12">
        <v>1.7089539329523853</v>
      </c>
      <c r="L10" s="11" t="s">
        <v>83</v>
      </c>
      <c r="M10" s="11" t="s">
        <v>84</v>
      </c>
      <c r="N10" s="12">
        <v>0.1</v>
      </c>
      <c r="O10" s="12">
        <v>3</v>
      </c>
      <c r="P10" s="11" t="s">
        <v>85</v>
      </c>
      <c r="Q10" s="11" t="s">
        <v>86</v>
      </c>
      <c r="R10" s="11" t="s">
        <v>208</v>
      </c>
      <c r="S10" s="11" t="s">
        <v>209</v>
      </c>
      <c r="T10" s="11" t="s">
        <v>89</v>
      </c>
      <c r="U10" s="11" t="s">
        <v>90</v>
      </c>
      <c r="V10" s="11" t="s">
        <v>83</v>
      </c>
      <c r="W10" s="11" t="s">
        <v>82</v>
      </c>
      <c r="X10" s="12">
        <v>0.05</v>
      </c>
      <c r="Y10" s="12">
        <v>0</v>
      </c>
      <c r="Z10" s="24">
        <v>30</v>
      </c>
      <c r="AA10" t="s">
        <v>231</v>
      </c>
      <c r="AB10" t="s">
        <v>92</v>
      </c>
    </row>
    <row r="11" spans="1:28" x14ac:dyDescent="0.25">
      <c r="B11" s="11" t="s">
        <v>180</v>
      </c>
      <c r="C11" s="11" t="s">
        <v>232</v>
      </c>
      <c r="D11" s="11" t="s">
        <v>233</v>
      </c>
      <c r="E11" s="12">
        <v>1</v>
      </c>
      <c r="F11" s="23">
        <v>18800</v>
      </c>
      <c r="G11" s="11">
        <v>5.6</v>
      </c>
      <c r="H11" s="23">
        <f t="shared" si="0"/>
        <v>105280</v>
      </c>
      <c r="J11" s="24">
        <v>94</v>
      </c>
      <c r="K11" s="12">
        <v>1.7163295379587029</v>
      </c>
      <c r="L11" s="11" t="s">
        <v>83</v>
      </c>
      <c r="M11" s="11" t="s">
        <v>84</v>
      </c>
      <c r="N11" s="12">
        <v>0.1</v>
      </c>
      <c r="O11" s="12">
        <v>3</v>
      </c>
      <c r="P11" s="11" t="s">
        <v>85</v>
      </c>
      <c r="Q11" s="11" t="s">
        <v>86</v>
      </c>
      <c r="R11" s="11" t="s">
        <v>208</v>
      </c>
      <c r="S11" s="11" t="s">
        <v>209</v>
      </c>
      <c r="T11" s="11" t="s">
        <v>89</v>
      </c>
      <c r="U11" s="11" t="s">
        <v>90</v>
      </c>
      <c r="V11" s="11" t="s">
        <v>83</v>
      </c>
      <c r="W11" s="11" t="s">
        <v>82</v>
      </c>
      <c r="X11" s="12">
        <v>0.05</v>
      </c>
      <c r="Y11" s="12">
        <v>0</v>
      </c>
      <c r="Z11" s="24">
        <v>30</v>
      </c>
      <c r="AA11" t="s">
        <v>234</v>
      </c>
      <c r="AB11" t="s">
        <v>92</v>
      </c>
    </row>
    <row r="12" spans="1:28" x14ac:dyDescent="0.25">
      <c r="B12" s="11" t="s">
        <v>191</v>
      </c>
      <c r="C12" s="11" t="s">
        <v>235</v>
      </c>
      <c r="D12" s="11" t="s">
        <v>236</v>
      </c>
      <c r="E12" s="12">
        <v>1</v>
      </c>
      <c r="F12" s="23">
        <v>17200</v>
      </c>
      <c r="G12" s="11">
        <v>5.3</v>
      </c>
      <c r="H12" s="23">
        <f t="shared" si="0"/>
        <v>91160</v>
      </c>
      <c r="I12" s="23">
        <f>AVERAGE(H12:H14)</f>
        <v>85153.333333333328</v>
      </c>
      <c r="J12" s="24">
        <v>86</v>
      </c>
      <c r="K12" s="12">
        <v>1.6968994193790161</v>
      </c>
      <c r="L12" s="11" t="s">
        <v>83</v>
      </c>
      <c r="M12" s="11" t="s">
        <v>84</v>
      </c>
      <c r="N12" s="12">
        <v>0.1</v>
      </c>
      <c r="O12" s="12">
        <v>3</v>
      </c>
      <c r="P12" s="11" t="s">
        <v>85</v>
      </c>
      <c r="Q12" s="11" t="s">
        <v>86</v>
      </c>
      <c r="R12" s="11" t="s">
        <v>208</v>
      </c>
      <c r="S12" s="11" t="s">
        <v>209</v>
      </c>
      <c r="T12" s="11" t="s">
        <v>89</v>
      </c>
      <c r="U12" s="11" t="s">
        <v>90</v>
      </c>
      <c r="V12" s="11" t="s">
        <v>83</v>
      </c>
      <c r="W12" s="11" t="s">
        <v>82</v>
      </c>
      <c r="X12" s="12">
        <v>0.05</v>
      </c>
      <c r="Y12" s="12">
        <v>0</v>
      </c>
      <c r="Z12" s="24">
        <v>30</v>
      </c>
      <c r="AA12" t="s">
        <v>237</v>
      </c>
      <c r="AB12" t="s">
        <v>92</v>
      </c>
    </row>
    <row r="13" spans="1:28" x14ac:dyDescent="0.25">
      <c r="B13" s="11" t="s">
        <v>238</v>
      </c>
      <c r="C13" s="11" t="s">
        <v>239</v>
      </c>
      <c r="D13" s="11" t="s">
        <v>240</v>
      </c>
      <c r="E13" s="12">
        <v>1</v>
      </c>
      <c r="F13" s="23">
        <v>15000</v>
      </c>
      <c r="G13" s="11">
        <v>5.3</v>
      </c>
      <c r="H13" s="23">
        <f t="shared" si="0"/>
        <v>79500</v>
      </c>
      <c r="J13" s="24">
        <v>75</v>
      </c>
      <c r="K13" s="12">
        <v>1.7580955826835316</v>
      </c>
      <c r="L13" s="11" t="s">
        <v>83</v>
      </c>
      <c r="M13" s="11" t="s">
        <v>84</v>
      </c>
      <c r="N13" s="12">
        <v>0.1</v>
      </c>
      <c r="O13" s="12">
        <v>3</v>
      </c>
      <c r="P13" s="11" t="s">
        <v>85</v>
      </c>
      <c r="Q13" s="11" t="s">
        <v>86</v>
      </c>
      <c r="R13" s="11" t="s">
        <v>208</v>
      </c>
      <c r="S13" s="11" t="s">
        <v>209</v>
      </c>
      <c r="T13" s="11" t="s">
        <v>89</v>
      </c>
      <c r="U13" s="11" t="s">
        <v>90</v>
      </c>
      <c r="V13" s="11" t="s">
        <v>83</v>
      </c>
      <c r="W13" s="11" t="s">
        <v>82</v>
      </c>
      <c r="X13" s="12">
        <v>0.05</v>
      </c>
      <c r="Y13" s="12">
        <v>0</v>
      </c>
      <c r="Z13" s="24">
        <v>30</v>
      </c>
      <c r="AA13" t="s">
        <v>241</v>
      </c>
      <c r="AB13" t="s">
        <v>92</v>
      </c>
    </row>
    <row r="14" spans="1:28" x14ac:dyDescent="0.25">
      <c r="B14" s="11" t="s">
        <v>242</v>
      </c>
      <c r="C14" s="11" t="s">
        <v>243</v>
      </c>
      <c r="D14" s="11" t="s">
        <v>244</v>
      </c>
      <c r="E14" s="12">
        <v>1</v>
      </c>
      <c r="F14" s="23">
        <v>16000</v>
      </c>
      <c r="G14" s="11">
        <v>5.3</v>
      </c>
      <c r="H14" s="23">
        <f t="shared" si="0"/>
        <v>84800</v>
      </c>
      <c r="J14" s="24">
        <v>80</v>
      </c>
      <c r="K14" s="12">
        <v>1.7649619044416318</v>
      </c>
      <c r="L14" s="11" t="s">
        <v>83</v>
      </c>
      <c r="M14" s="11" t="s">
        <v>84</v>
      </c>
      <c r="N14" s="12">
        <v>0.1</v>
      </c>
      <c r="O14" s="12">
        <v>3</v>
      </c>
      <c r="P14" s="11" t="s">
        <v>85</v>
      </c>
      <c r="Q14" s="11" t="s">
        <v>86</v>
      </c>
      <c r="R14" s="11" t="s">
        <v>208</v>
      </c>
      <c r="S14" s="11" t="s">
        <v>209</v>
      </c>
      <c r="T14" s="11" t="s">
        <v>89</v>
      </c>
      <c r="U14" s="11" t="s">
        <v>90</v>
      </c>
      <c r="V14" s="11" t="s">
        <v>83</v>
      </c>
      <c r="W14" s="11" t="s">
        <v>82</v>
      </c>
      <c r="X14" s="12">
        <v>0.05</v>
      </c>
      <c r="Y14" s="12">
        <v>0</v>
      </c>
      <c r="Z14" s="24">
        <v>30</v>
      </c>
      <c r="AA14" t="s">
        <v>245</v>
      </c>
      <c r="AB14" t="s">
        <v>92</v>
      </c>
    </row>
    <row r="16" spans="1:28" x14ac:dyDescent="0.25">
      <c r="A16" t="s">
        <v>751</v>
      </c>
      <c r="D16" s="11" t="s">
        <v>246</v>
      </c>
    </row>
    <row r="17" spans="1:28" x14ac:dyDescent="0.25">
      <c r="A17" t="s">
        <v>752</v>
      </c>
      <c r="B17" s="11" t="s">
        <v>247</v>
      </c>
      <c r="C17" s="11" t="s">
        <v>248</v>
      </c>
      <c r="D17" s="11" t="s">
        <v>249</v>
      </c>
      <c r="E17" s="12">
        <v>3</v>
      </c>
      <c r="F17" s="23">
        <v>6590000</v>
      </c>
      <c r="G17" s="11">
        <v>4.5</v>
      </c>
      <c r="H17" s="23">
        <f>F17*G17</f>
        <v>29655000</v>
      </c>
      <c r="I17" s="23">
        <f>AVERAGE(H17:H19)</f>
        <v>27975000</v>
      </c>
      <c r="J17" s="24">
        <v>222</v>
      </c>
      <c r="K17" s="12">
        <v>1.6199456023628349</v>
      </c>
      <c r="L17" s="11" t="s">
        <v>83</v>
      </c>
      <c r="M17" s="11" t="s">
        <v>84</v>
      </c>
      <c r="N17" s="12">
        <v>0.1</v>
      </c>
      <c r="O17" s="12">
        <v>3</v>
      </c>
      <c r="P17" s="11" t="s">
        <v>85</v>
      </c>
      <c r="Q17" s="11" t="s">
        <v>86</v>
      </c>
      <c r="R17" s="11" t="s">
        <v>208</v>
      </c>
      <c r="S17" s="11" t="s">
        <v>209</v>
      </c>
      <c r="T17" s="11" t="s">
        <v>89</v>
      </c>
      <c r="U17" s="11" t="s">
        <v>90</v>
      </c>
      <c r="V17" s="11" t="s">
        <v>83</v>
      </c>
      <c r="W17" s="11" t="s">
        <v>82</v>
      </c>
      <c r="X17" s="12">
        <v>0.05</v>
      </c>
      <c r="Y17" s="12">
        <v>0</v>
      </c>
      <c r="Z17" s="24">
        <v>30</v>
      </c>
      <c r="AA17" t="s">
        <v>250</v>
      </c>
      <c r="AB17" t="s">
        <v>92</v>
      </c>
    </row>
    <row r="18" spans="1:28" x14ac:dyDescent="0.25">
      <c r="B18" s="11" t="s">
        <v>251</v>
      </c>
      <c r="C18" s="11" t="s">
        <v>252</v>
      </c>
      <c r="D18" s="11" t="s">
        <v>253</v>
      </c>
      <c r="E18" s="12">
        <v>3</v>
      </c>
      <c r="F18" s="23">
        <v>6410000</v>
      </c>
      <c r="G18" s="11">
        <v>4.5</v>
      </c>
      <c r="H18" s="23">
        <f>F18*G18</f>
        <v>28845000</v>
      </c>
      <c r="J18" s="24">
        <v>216</v>
      </c>
      <c r="K18" s="12">
        <v>1.6436520643794028</v>
      </c>
      <c r="L18" s="11" t="s">
        <v>83</v>
      </c>
      <c r="M18" s="11" t="s">
        <v>84</v>
      </c>
      <c r="N18" s="12">
        <v>0.1</v>
      </c>
      <c r="O18" s="12">
        <v>3</v>
      </c>
      <c r="P18" s="11" t="s">
        <v>85</v>
      </c>
      <c r="Q18" s="11" t="s">
        <v>86</v>
      </c>
      <c r="R18" s="11" t="s">
        <v>208</v>
      </c>
      <c r="S18" s="11" t="s">
        <v>209</v>
      </c>
      <c r="T18" s="11" t="s">
        <v>89</v>
      </c>
      <c r="U18" s="11" t="s">
        <v>90</v>
      </c>
      <c r="V18" s="11" t="s">
        <v>83</v>
      </c>
      <c r="W18" s="11" t="s">
        <v>82</v>
      </c>
      <c r="X18" s="12">
        <v>0.05</v>
      </c>
      <c r="Y18" s="12">
        <v>0</v>
      </c>
      <c r="Z18" s="24">
        <v>30</v>
      </c>
      <c r="AA18" t="s">
        <v>254</v>
      </c>
      <c r="AB18" t="s">
        <v>92</v>
      </c>
    </row>
    <row r="19" spans="1:28" x14ac:dyDescent="0.25">
      <c r="B19" s="11" t="s">
        <v>255</v>
      </c>
      <c r="C19" s="11" t="s">
        <v>256</v>
      </c>
      <c r="D19" s="11" t="s">
        <v>257</v>
      </c>
      <c r="E19" s="12">
        <v>3</v>
      </c>
      <c r="F19" s="23">
        <v>5650000</v>
      </c>
      <c r="G19" s="11">
        <v>4.5</v>
      </c>
      <c r="H19" s="23">
        <f>F19*G19</f>
        <v>25425000</v>
      </c>
      <c r="J19" s="24">
        <v>224</v>
      </c>
      <c r="K19" s="12">
        <v>1.6270091181806401</v>
      </c>
      <c r="L19" s="11" t="s">
        <v>83</v>
      </c>
      <c r="M19" s="11" t="s">
        <v>84</v>
      </c>
      <c r="N19" s="12">
        <v>0.1</v>
      </c>
      <c r="O19" s="12">
        <v>3</v>
      </c>
      <c r="P19" s="11" t="s">
        <v>85</v>
      </c>
      <c r="Q19" s="11" t="s">
        <v>86</v>
      </c>
      <c r="R19" s="11" t="s">
        <v>208</v>
      </c>
      <c r="S19" s="11" t="s">
        <v>209</v>
      </c>
      <c r="T19" s="11" t="s">
        <v>89</v>
      </c>
      <c r="U19" s="11" t="s">
        <v>90</v>
      </c>
      <c r="V19" s="11" t="s">
        <v>83</v>
      </c>
      <c r="W19" s="11" t="s">
        <v>82</v>
      </c>
      <c r="X19" s="12">
        <v>0.05</v>
      </c>
      <c r="Y19" s="12">
        <v>0</v>
      </c>
      <c r="Z19" s="24">
        <v>30</v>
      </c>
      <c r="AA19" t="s">
        <v>258</v>
      </c>
      <c r="AB19" t="s">
        <v>92</v>
      </c>
    </row>
    <row r="20" spans="1:28" x14ac:dyDescent="0.25">
      <c r="B20" s="11" t="s">
        <v>259</v>
      </c>
      <c r="E20" s="12" t="s">
        <v>101</v>
      </c>
      <c r="F20" s="23">
        <f>AVERAGE(F17:F19)</f>
        <v>6216666.666666667</v>
      </c>
      <c r="J20" s="24" t="s">
        <v>102</v>
      </c>
      <c r="K20" s="12">
        <f>STDEV(F17:F19)/AVERAGE(F17:F19)*100</f>
        <v>8.0257189242113274</v>
      </c>
    </row>
    <row r="21" spans="1:28" x14ac:dyDescent="0.25">
      <c r="B21" s="11" t="s">
        <v>260</v>
      </c>
      <c r="C21" s="11" t="s">
        <v>261</v>
      </c>
      <c r="D21" s="11" t="s">
        <v>262</v>
      </c>
      <c r="E21" s="12">
        <v>1</v>
      </c>
      <c r="F21" s="23">
        <v>103000</v>
      </c>
      <c r="G21" s="11">
        <v>4.8</v>
      </c>
      <c r="H21" s="23">
        <f>F21*G21</f>
        <v>494400</v>
      </c>
      <c r="I21" s="23">
        <f>AVERAGE(H21:H23)</f>
        <v>474720</v>
      </c>
      <c r="J21" s="24">
        <v>225</v>
      </c>
      <c r="K21" s="12">
        <v>1.5243960692744536</v>
      </c>
      <c r="L21" s="11" t="s">
        <v>83</v>
      </c>
      <c r="M21" s="11" t="s">
        <v>84</v>
      </c>
      <c r="N21" s="12">
        <v>0.1</v>
      </c>
      <c r="O21" s="12">
        <v>3</v>
      </c>
      <c r="P21" s="11" t="s">
        <v>85</v>
      </c>
      <c r="Q21" s="11" t="s">
        <v>86</v>
      </c>
      <c r="R21" s="11" t="s">
        <v>208</v>
      </c>
      <c r="S21" s="11" t="s">
        <v>209</v>
      </c>
      <c r="T21" s="11" t="s">
        <v>89</v>
      </c>
      <c r="U21" s="11" t="s">
        <v>90</v>
      </c>
      <c r="V21" s="11" t="s">
        <v>83</v>
      </c>
      <c r="W21" s="11" t="s">
        <v>82</v>
      </c>
      <c r="X21" s="12">
        <v>0.05</v>
      </c>
      <c r="Y21" s="12">
        <v>0</v>
      </c>
      <c r="Z21" s="24">
        <v>30</v>
      </c>
      <c r="AA21" t="s">
        <v>263</v>
      </c>
      <c r="AB21" t="s">
        <v>92</v>
      </c>
    </row>
    <row r="22" spans="1:28" x14ac:dyDescent="0.25">
      <c r="B22" s="11" t="s">
        <v>264</v>
      </c>
      <c r="C22" s="11" t="s">
        <v>265</v>
      </c>
      <c r="D22" s="11" t="s">
        <v>266</v>
      </c>
      <c r="E22" s="12">
        <v>1</v>
      </c>
      <c r="F22" s="23">
        <v>104000</v>
      </c>
      <c r="G22" s="11">
        <v>4.8</v>
      </c>
      <c r="H22" s="23">
        <f>F22*G22</f>
        <v>499200</v>
      </c>
      <c r="J22" s="24">
        <v>220</v>
      </c>
      <c r="K22" s="12">
        <v>1.4713513485091081</v>
      </c>
      <c r="L22" s="11" t="s">
        <v>83</v>
      </c>
      <c r="M22" s="11" t="s">
        <v>84</v>
      </c>
      <c r="N22" s="12">
        <v>0.1</v>
      </c>
      <c r="O22" s="12">
        <v>3</v>
      </c>
      <c r="P22" s="11" t="s">
        <v>85</v>
      </c>
      <c r="Q22" s="11" t="s">
        <v>86</v>
      </c>
      <c r="R22" s="11" t="s">
        <v>208</v>
      </c>
      <c r="S22" s="11" t="s">
        <v>209</v>
      </c>
      <c r="T22" s="11" t="s">
        <v>89</v>
      </c>
      <c r="U22" s="11" t="s">
        <v>90</v>
      </c>
      <c r="V22" s="11" t="s">
        <v>83</v>
      </c>
      <c r="W22" s="11" t="s">
        <v>82</v>
      </c>
      <c r="X22" s="12">
        <v>0.05</v>
      </c>
      <c r="Y22" s="12">
        <v>0</v>
      </c>
      <c r="Z22" s="24">
        <v>30</v>
      </c>
      <c r="AA22" t="s">
        <v>267</v>
      </c>
      <c r="AB22" t="s">
        <v>92</v>
      </c>
    </row>
    <row r="23" spans="1:28" x14ac:dyDescent="0.25">
      <c r="B23" s="11" t="s">
        <v>268</v>
      </c>
      <c r="C23" s="11" t="s">
        <v>269</v>
      </c>
      <c r="D23" s="11" t="s">
        <v>270</v>
      </c>
      <c r="E23" s="12">
        <v>1</v>
      </c>
      <c r="F23" s="23">
        <v>89700</v>
      </c>
      <c r="G23" s="11">
        <v>4.8</v>
      </c>
      <c r="H23" s="23">
        <f>F23*G23</f>
        <v>430560</v>
      </c>
      <c r="J23" s="24">
        <v>220</v>
      </c>
      <c r="K23" s="12">
        <v>1.6169544092425647</v>
      </c>
      <c r="L23" s="11" t="s">
        <v>83</v>
      </c>
      <c r="M23" s="11" t="s">
        <v>84</v>
      </c>
      <c r="N23" s="12">
        <v>0.1</v>
      </c>
      <c r="O23" s="12">
        <v>3</v>
      </c>
      <c r="P23" s="11" t="s">
        <v>85</v>
      </c>
      <c r="Q23" s="11" t="s">
        <v>86</v>
      </c>
      <c r="R23" s="11" t="s">
        <v>208</v>
      </c>
      <c r="S23" s="11" t="s">
        <v>209</v>
      </c>
      <c r="T23" s="11" t="s">
        <v>89</v>
      </c>
      <c r="U23" s="11" t="s">
        <v>90</v>
      </c>
      <c r="V23" s="11" t="s">
        <v>83</v>
      </c>
      <c r="W23" s="11" t="s">
        <v>82</v>
      </c>
      <c r="X23" s="12">
        <v>0.05</v>
      </c>
      <c r="Y23" s="12">
        <v>0</v>
      </c>
      <c r="Z23" s="24">
        <v>30</v>
      </c>
      <c r="AA23" t="s">
        <v>271</v>
      </c>
      <c r="AB23" t="s">
        <v>92</v>
      </c>
    </row>
    <row r="24" spans="1:28" x14ac:dyDescent="0.25">
      <c r="B24" s="11" t="s">
        <v>272</v>
      </c>
      <c r="E24" s="12" t="s">
        <v>101</v>
      </c>
      <c r="F24" s="23">
        <f>AVERAGE(F21:F23)</f>
        <v>98900</v>
      </c>
      <c r="J24" s="24" t="s">
        <v>102</v>
      </c>
      <c r="K24" s="12">
        <f>STDEV(F21:F23)/AVERAGE(F21:F23)*100</f>
        <v>8.071898042979587</v>
      </c>
    </row>
    <row r="42" spans="1:17" x14ac:dyDescent="0.25">
      <c r="A42" t="s">
        <v>761</v>
      </c>
      <c r="C42" s="11" t="s">
        <v>759</v>
      </c>
      <c r="D42" s="12"/>
      <c r="E42" s="23" t="s">
        <v>760</v>
      </c>
      <c r="F42" s="11"/>
      <c r="P42" s="11" t="s">
        <v>797</v>
      </c>
    </row>
    <row r="43" spans="1:17" ht="38.25" x14ac:dyDescent="0.25">
      <c r="A43" s="5" t="s">
        <v>42</v>
      </c>
      <c r="B43" s="6" t="s">
        <v>43</v>
      </c>
      <c r="C43" s="7" t="s">
        <v>44</v>
      </c>
      <c r="D43" s="7" t="s">
        <v>45</v>
      </c>
      <c r="E43" s="8" t="s">
        <v>46</v>
      </c>
      <c r="F43" s="9" t="s">
        <v>47</v>
      </c>
      <c r="G43" s="10" t="s">
        <v>48</v>
      </c>
      <c r="H43" s="10" t="s">
        <v>781</v>
      </c>
      <c r="J43" s="11"/>
      <c r="K43" s="12" t="s">
        <v>774</v>
      </c>
      <c r="M43" s="11" t="s">
        <v>773</v>
      </c>
      <c r="N43" s="12" t="s">
        <v>472</v>
      </c>
      <c r="P43" s="106" t="s">
        <v>798</v>
      </c>
      <c r="Q43" s="11" t="s">
        <v>472</v>
      </c>
    </row>
    <row r="44" spans="1:17" x14ac:dyDescent="0.25">
      <c r="A44" s="13" t="s">
        <v>746</v>
      </c>
      <c r="B44" s="14">
        <v>1</v>
      </c>
      <c r="C44" s="15"/>
      <c r="D44" s="16"/>
      <c r="E44" s="17"/>
      <c r="F44" s="15">
        <f>I3</f>
        <v>185873.33333333334</v>
      </c>
      <c r="G44" s="149" t="s">
        <v>51</v>
      </c>
      <c r="H44" s="155"/>
      <c r="J44" s="11"/>
      <c r="K44" s="12">
        <f>LOG(F44)</f>
        <v>5.2692170873679034</v>
      </c>
      <c r="M44" s="12">
        <f>(LOG(GEOMEAN(F45:F47)))-(LOG(GEOMEAN(F48:F52)))</f>
        <v>4.9518945718216916</v>
      </c>
      <c r="N44" s="90">
        <f>SQRT(VAR(K45:K47)/3+(VAR(K48:K52)/5))</f>
        <v>6.3883418566583014E-2</v>
      </c>
      <c r="P44" s="12">
        <f>AVERAGE(K45:K47)</f>
        <v>4.9518945718216907</v>
      </c>
      <c r="Q44" s="12">
        <f>SQRT(VAR(K45:K47)/3)</f>
        <v>6.3883418566583014E-2</v>
      </c>
    </row>
    <row r="45" spans="1:17" x14ac:dyDescent="0.25">
      <c r="A45" s="148" t="s">
        <v>748</v>
      </c>
      <c r="B45" s="14">
        <v>1</v>
      </c>
      <c r="C45" s="15"/>
      <c r="D45" s="16"/>
      <c r="E45" s="17"/>
      <c r="F45" s="15">
        <f>I6</f>
        <v>71400</v>
      </c>
      <c r="G45" s="156">
        <f>AVERAGE(F45:F47)</f>
        <v>91508.888888888876</v>
      </c>
      <c r="H45" s="159">
        <f>STDEV(F45:F47)</f>
        <v>23928.302473415533</v>
      </c>
      <c r="J45" s="11"/>
      <c r="K45" s="12">
        <f t="shared" ref="K45:K52" si="1">LOG(F45)</f>
        <v>4.853698211776174</v>
      </c>
    </row>
    <row r="46" spans="1:17" x14ac:dyDescent="0.25">
      <c r="A46" s="148"/>
      <c r="B46" s="14">
        <v>2</v>
      </c>
      <c r="C46" s="15"/>
      <c r="D46" s="16"/>
      <c r="E46" s="17"/>
      <c r="F46" s="15">
        <f>I9</f>
        <v>117973.33333333333</v>
      </c>
      <c r="G46" s="157"/>
      <c r="H46" s="160"/>
      <c r="I46" s="21">
        <f>G45/F44</f>
        <v>0.4923185442894204</v>
      </c>
      <c r="J46" s="22" t="s">
        <v>52</v>
      </c>
      <c r="K46" s="12">
        <f t="shared" si="1"/>
        <v>5.0717838505689228</v>
      </c>
    </row>
    <row r="47" spans="1:17" x14ac:dyDescent="0.25">
      <c r="A47" s="148"/>
      <c r="B47" s="14">
        <v>3</v>
      </c>
      <c r="C47" s="15"/>
      <c r="D47" s="16"/>
      <c r="E47" s="17"/>
      <c r="F47" s="15">
        <f>I12</f>
        <v>85153.333333333328</v>
      </c>
      <c r="G47" s="158"/>
      <c r="H47" s="161"/>
      <c r="I47" s="18"/>
      <c r="J47" s="20"/>
      <c r="K47" s="12">
        <f t="shared" si="1"/>
        <v>4.9302016531199762</v>
      </c>
    </row>
    <row r="48" spans="1:17" x14ac:dyDescent="0.25">
      <c r="A48" s="148" t="s">
        <v>749</v>
      </c>
      <c r="B48" s="14">
        <v>1</v>
      </c>
      <c r="C48" s="65"/>
      <c r="D48" s="17"/>
      <c r="E48" s="15"/>
      <c r="F48" s="91">
        <v>1</v>
      </c>
      <c r="G48" s="145">
        <v>0</v>
      </c>
      <c r="H48" s="147">
        <f>STDEV(F48:F52)</f>
        <v>0</v>
      </c>
      <c r="J48" s="11"/>
      <c r="K48" s="12">
        <f t="shared" si="1"/>
        <v>0</v>
      </c>
    </row>
    <row r="49" spans="1:11" x14ac:dyDescent="0.25">
      <c r="A49" s="148"/>
      <c r="B49" s="14">
        <v>2</v>
      </c>
      <c r="C49" s="65"/>
      <c r="D49" s="17"/>
      <c r="E49" s="15"/>
      <c r="F49" s="91">
        <v>1</v>
      </c>
      <c r="G49" s="162"/>
      <c r="H49" s="164"/>
      <c r="J49" s="11"/>
      <c r="K49" s="12">
        <f t="shared" si="1"/>
        <v>0</v>
      </c>
    </row>
    <row r="50" spans="1:11" x14ac:dyDescent="0.25">
      <c r="A50" s="148"/>
      <c r="B50" s="14">
        <v>3</v>
      </c>
      <c r="C50" s="65"/>
      <c r="D50" s="17"/>
      <c r="E50" s="15"/>
      <c r="F50" s="91">
        <v>1</v>
      </c>
      <c r="G50" s="162"/>
      <c r="H50" s="164"/>
      <c r="J50" s="11"/>
      <c r="K50" s="12">
        <f t="shared" si="1"/>
        <v>0</v>
      </c>
    </row>
    <row r="51" spans="1:11" x14ac:dyDescent="0.25">
      <c r="A51" s="148"/>
      <c r="B51" s="14">
        <v>4</v>
      </c>
      <c r="C51" s="65"/>
      <c r="D51" s="17"/>
      <c r="E51" s="15"/>
      <c r="F51" s="91">
        <v>1</v>
      </c>
      <c r="G51" s="162"/>
      <c r="H51" s="164"/>
      <c r="J51" s="11"/>
      <c r="K51" s="12">
        <f t="shared" si="1"/>
        <v>0</v>
      </c>
    </row>
    <row r="52" spans="1:11" x14ac:dyDescent="0.25">
      <c r="A52" s="148"/>
      <c r="B52" s="14">
        <v>5</v>
      </c>
      <c r="C52" s="65"/>
      <c r="D52" s="17"/>
      <c r="E52" s="15"/>
      <c r="F52" s="91">
        <v>1</v>
      </c>
      <c r="G52" s="163"/>
      <c r="H52" s="165"/>
      <c r="J52" s="11"/>
      <c r="K52" s="12">
        <f t="shared" si="1"/>
        <v>0</v>
      </c>
    </row>
    <row r="54" spans="1:11" x14ac:dyDescent="0.25">
      <c r="F54" s="92" t="s">
        <v>775</v>
      </c>
      <c r="G54" s="23"/>
      <c r="K54" s="24" t="s">
        <v>779</v>
      </c>
    </row>
    <row r="55" spans="1:11" x14ac:dyDescent="0.25">
      <c r="F55" s="23" t="s">
        <v>776</v>
      </c>
      <c r="G55" s="12"/>
    </row>
    <row r="56" spans="1:11" x14ac:dyDescent="0.25">
      <c r="F56" s="23" t="s">
        <v>777</v>
      </c>
      <c r="G56" s="23"/>
    </row>
    <row r="58" spans="1:11" x14ac:dyDescent="0.25">
      <c r="B58" s="11" t="s">
        <v>808</v>
      </c>
      <c r="C58" s="11" t="s">
        <v>810</v>
      </c>
      <c r="D58" s="12" t="s">
        <v>809</v>
      </c>
    </row>
    <row r="59" spans="1:11" x14ac:dyDescent="0.25">
      <c r="A59" t="s">
        <v>799</v>
      </c>
      <c r="B59" s="11">
        <f>LOG(F45)</f>
        <v>4.853698211776174</v>
      </c>
      <c r="C59" s="12">
        <f>AVERAGE(B59:B61)</f>
        <v>4.9518945718216907</v>
      </c>
      <c r="D59" s="12">
        <f>STDEV(B59:B61)</f>
        <v>0.11064932671851072</v>
      </c>
    </row>
    <row r="60" spans="1:11" x14ac:dyDescent="0.25">
      <c r="B60" s="11">
        <f>LOG(F46)</f>
        <v>5.0717838505689228</v>
      </c>
      <c r="D60" s="12"/>
    </row>
    <row r="61" spans="1:11" x14ac:dyDescent="0.25">
      <c r="B61" s="11">
        <f>LOG(F47)</f>
        <v>4.9302016531199762</v>
      </c>
      <c r="D61" s="12"/>
    </row>
    <row r="62" spans="1:11" x14ac:dyDescent="0.25">
      <c r="A62" t="s">
        <v>807</v>
      </c>
      <c r="B62" s="11">
        <f>LOG(F48)</f>
        <v>0</v>
      </c>
      <c r="C62" s="11">
        <f>AVERAGE(B62:B66)</f>
        <v>0</v>
      </c>
      <c r="D62" s="12">
        <f>STDEV(B62:B66)</f>
        <v>0</v>
      </c>
    </row>
    <row r="63" spans="1:11" x14ac:dyDescent="0.25">
      <c r="B63" s="11">
        <f>LOG(F49)</f>
        <v>0</v>
      </c>
      <c r="D63" s="12"/>
    </row>
    <row r="64" spans="1:11" x14ac:dyDescent="0.25">
      <c r="B64" s="11">
        <f t="shared" ref="B64:B66" si="2">LOG(F50)</f>
        <v>0</v>
      </c>
      <c r="D64" s="12"/>
    </row>
    <row r="65" spans="2:4" x14ac:dyDescent="0.25">
      <c r="B65" s="11">
        <f t="shared" si="2"/>
        <v>0</v>
      </c>
      <c r="D65" s="12"/>
    </row>
    <row r="66" spans="2:4" x14ac:dyDescent="0.25">
      <c r="B66" s="11">
        <f t="shared" si="2"/>
        <v>0</v>
      </c>
      <c r="D66" s="12"/>
    </row>
  </sheetData>
  <mergeCells count="7">
    <mergeCell ref="G44:H44"/>
    <mergeCell ref="A45:A47"/>
    <mergeCell ref="G45:G47"/>
    <mergeCell ref="H45:H47"/>
    <mergeCell ref="A48:A52"/>
    <mergeCell ref="G48:G52"/>
    <mergeCell ref="H48:H5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opLeftCell="A53" workbookViewId="0">
      <selection activeCell="B75" sqref="B75:B79"/>
    </sheetView>
  </sheetViews>
  <sheetFormatPr defaultRowHeight="15" x14ac:dyDescent="0.25"/>
  <cols>
    <col min="1" max="1" width="18.140625" bestFit="1" customWidth="1"/>
    <col min="2" max="2" width="9.140625" style="11"/>
    <col min="3" max="3" width="12.7109375" style="11" customWidth="1"/>
    <col min="4" max="4" width="9.140625" style="12"/>
    <col min="5" max="5" width="9.140625" style="23"/>
    <col min="6" max="6" width="9.140625" style="11"/>
    <col min="7" max="7" width="9.140625" style="24"/>
    <col min="8" max="8" width="9.140625" style="12"/>
    <col min="9" max="10" width="9.140625" style="11"/>
    <col min="11" max="12" width="9.140625" style="12"/>
    <col min="13" max="13" width="9.140625" style="11"/>
    <col min="14" max="14" width="13.28515625" style="11" customWidth="1"/>
    <col min="15" max="20" width="9.140625" style="11"/>
    <col min="21" max="22" width="9.140625" style="12"/>
    <col min="23" max="23" width="9.140625" style="24"/>
    <col min="24" max="24" width="21.42578125" customWidth="1"/>
  </cols>
  <sheetData>
    <row r="1" spans="2:25" x14ac:dyDescent="0.25">
      <c r="B1" s="28" t="s">
        <v>56</v>
      </c>
      <c r="C1" s="28" t="s">
        <v>57</v>
      </c>
      <c r="D1" s="29" t="s">
        <v>58</v>
      </c>
      <c r="E1" s="30" t="s">
        <v>59</v>
      </c>
      <c r="F1" s="28" t="s">
        <v>60</v>
      </c>
      <c r="G1" s="31" t="s">
        <v>61</v>
      </c>
      <c r="H1" s="29" t="s">
        <v>62</v>
      </c>
      <c r="I1" s="28" t="s">
        <v>63</v>
      </c>
      <c r="J1" s="28" t="s">
        <v>64</v>
      </c>
      <c r="K1" s="29" t="s">
        <v>65</v>
      </c>
      <c r="L1" s="29" t="s">
        <v>66</v>
      </c>
      <c r="M1" s="28" t="s">
        <v>67</v>
      </c>
      <c r="N1" s="28" t="s">
        <v>68</v>
      </c>
      <c r="O1" s="28" t="s">
        <v>69</v>
      </c>
      <c r="P1" s="28" t="s">
        <v>70</v>
      </c>
      <c r="Q1" s="28" t="s">
        <v>71</v>
      </c>
      <c r="R1" s="28" t="s">
        <v>72</v>
      </c>
      <c r="S1" s="28" t="s">
        <v>73</v>
      </c>
      <c r="T1" s="28" t="s">
        <v>74</v>
      </c>
      <c r="U1" s="29" t="s">
        <v>75</v>
      </c>
      <c r="V1" s="29" t="s">
        <v>76</v>
      </c>
      <c r="W1" s="31" t="s">
        <v>77</v>
      </c>
      <c r="X1" s="32" t="s">
        <v>78</v>
      </c>
      <c r="Y1" s="32" t="s">
        <v>79</v>
      </c>
    </row>
    <row r="2" spans="2:25" s="33" customFormat="1" x14ac:dyDescent="0.25">
      <c r="B2" s="11" t="s">
        <v>80</v>
      </c>
      <c r="C2" s="11" t="s">
        <v>81</v>
      </c>
      <c r="D2" s="12">
        <v>1</v>
      </c>
      <c r="E2" s="23">
        <v>42000</v>
      </c>
      <c r="F2" s="11" t="s">
        <v>82</v>
      </c>
      <c r="G2" s="24">
        <v>210</v>
      </c>
      <c r="H2" s="12">
        <v>2.0371572190558007</v>
      </c>
      <c r="I2" s="11" t="s">
        <v>83</v>
      </c>
      <c r="J2" s="11" t="s">
        <v>84</v>
      </c>
      <c r="K2" s="12">
        <v>1</v>
      </c>
      <c r="L2" s="12">
        <v>10</v>
      </c>
      <c r="M2" s="11" t="s">
        <v>85</v>
      </c>
      <c r="N2" s="11" t="s">
        <v>86</v>
      </c>
      <c r="O2" s="11" t="s">
        <v>87</v>
      </c>
      <c r="P2" s="11" t="s">
        <v>88</v>
      </c>
      <c r="Q2" s="11" t="s">
        <v>89</v>
      </c>
      <c r="R2" s="11" t="s">
        <v>90</v>
      </c>
      <c r="S2" s="11" t="s">
        <v>83</v>
      </c>
      <c r="T2" s="11" t="s">
        <v>82</v>
      </c>
      <c r="U2" s="12">
        <v>0.05</v>
      </c>
      <c r="V2" s="12">
        <v>0</v>
      </c>
      <c r="W2" s="24">
        <v>30</v>
      </c>
      <c r="X2" s="33" t="s">
        <v>91</v>
      </c>
      <c r="Y2" s="33" t="s">
        <v>92</v>
      </c>
    </row>
    <row r="3" spans="2:25" x14ac:dyDescent="0.25">
      <c r="B3" s="11" t="s">
        <v>93</v>
      </c>
      <c r="C3" s="11" t="s">
        <v>94</v>
      </c>
      <c r="D3" s="12">
        <v>1</v>
      </c>
      <c r="E3" s="23">
        <v>49900</v>
      </c>
      <c r="F3" s="11" t="s">
        <v>82</v>
      </c>
      <c r="G3" s="24">
        <v>216</v>
      </c>
      <c r="H3" s="12">
        <v>1.9809169277389398</v>
      </c>
      <c r="I3" s="11" t="s">
        <v>83</v>
      </c>
      <c r="J3" s="11" t="s">
        <v>84</v>
      </c>
      <c r="K3" s="12">
        <v>1</v>
      </c>
      <c r="L3" s="12">
        <v>10</v>
      </c>
      <c r="M3" s="11" t="s">
        <v>85</v>
      </c>
      <c r="N3" s="11" t="s">
        <v>86</v>
      </c>
      <c r="O3" s="11" t="s">
        <v>87</v>
      </c>
      <c r="P3" s="11" t="s">
        <v>88</v>
      </c>
      <c r="Q3" s="11" t="s">
        <v>89</v>
      </c>
      <c r="R3" s="11" t="s">
        <v>90</v>
      </c>
      <c r="S3" s="11" t="s">
        <v>83</v>
      </c>
      <c r="T3" s="11" t="s">
        <v>82</v>
      </c>
      <c r="U3" s="12">
        <v>0.05</v>
      </c>
      <c r="V3" s="12">
        <v>0</v>
      </c>
      <c r="W3" s="24">
        <v>30</v>
      </c>
      <c r="X3" t="s">
        <v>95</v>
      </c>
      <c r="Y3" t="s">
        <v>92</v>
      </c>
    </row>
    <row r="4" spans="2:25" x14ac:dyDescent="0.25">
      <c r="B4" s="11" t="s">
        <v>96</v>
      </c>
      <c r="C4" s="11" t="s">
        <v>97</v>
      </c>
      <c r="D4" s="12">
        <v>1</v>
      </c>
      <c r="E4" s="23">
        <v>50200</v>
      </c>
      <c r="F4" s="11" t="s">
        <v>82</v>
      </c>
      <c r="G4" s="24">
        <v>222</v>
      </c>
      <c r="H4" s="12">
        <v>1.946641745481327</v>
      </c>
      <c r="I4" s="11" t="s">
        <v>83</v>
      </c>
      <c r="J4" s="11" t="s">
        <v>84</v>
      </c>
      <c r="K4" s="12">
        <v>1</v>
      </c>
      <c r="L4" s="12">
        <v>10</v>
      </c>
      <c r="M4" s="11" t="s">
        <v>85</v>
      </c>
      <c r="N4" s="11" t="s">
        <v>86</v>
      </c>
      <c r="O4" s="11" t="s">
        <v>87</v>
      </c>
      <c r="P4" s="11" t="s">
        <v>88</v>
      </c>
      <c r="Q4" s="11" t="s">
        <v>89</v>
      </c>
      <c r="R4" s="11" t="s">
        <v>90</v>
      </c>
      <c r="S4" s="11" t="s">
        <v>83</v>
      </c>
      <c r="T4" s="11" t="s">
        <v>82</v>
      </c>
      <c r="U4" s="12">
        <v>0.05</v>
      </c>
      <c r="V4" s="12">
        <v>0</v>
      </c>
      <c r="W4" s="24">
        <v>30</v>
      </c>
      <c r="X4" t="s">
        <v>98</v>
      </c>
      <c r="Y4" t="s">
        <v>92</v>
      </c>
    </row>
    <row r="5" spans="2:25" x14ac:dyDescent="0.25">
      <c r="B5" s="11" t="s">
        <v>99</v>
      </c>
      <c r="C5" s="11" t="s">
        <v>100</v>
      </c>
      <c r="D5" s="12" t="s">
        <v>101</v>
      </c>
      <c r="E5" s="23">
        <f>AVERAGE(E2:E4)</f>
        <v>47366.666666666664</v>
      </c>
      <c r="G5" s="24" t="s">
        <v>102</v>
      </c>
      <c r="H5" s="12">
        <f>STDEV(E2:E4)/AVERAGE(E2:E4)*100</f>
        <v>9.8172194332261036</v>
      </c>
    </row>
    <row r="6" spans="2:25" x14ac:dyDescent="0.25">
      <c r="B6" s="11" t="s">
        <v>103</v>
      </c>
      <c r="C6" s="11" t="s">
        <v>104</v>
      </c>
      <c r="D6" s="12">
        <v>1</v>
      </c>
      <c r="E6" s="23">
        <v>39400</v>
      </c>
      <c r="F6" s="11" t="s">
        <v>82</v>
      </c>
      <c r="G6" s="24">
        <v>197</v>
      </c>
      <c r="H6" s="12">
        <v>1.9967444357585473</v>
      </c>
      <c r="I6" s="11" t="s">
        <v>83</v>
      </c>
      <c r="J6" s="11" t="s">
        <v>84</v>
      </c>
      <c r="K6" s="12">
        <v>1</v>
      </c>
      <c r="L6" s="12">
        <v>10</v>
      </c>
      <c r="M6" s="11" t="s">
        <v>85</v>
      </c>
      <c r="N6" s="11" t="s">
        <v>86</v>
      </c>
      <c r="O6" s="11" t="s">
        <v>87</v>
      </c>
      <c r="P6" s="11" t="s">
        <v>88</v>
      </c>
      <c r="Q6" s="11" t="s">
        <v>89</v>
      </c>
      <c r="R6" s="11" t="s">
        <v>90</v>
      </c>
      <c r="S6" s="11" t="s">
        <v>83</v>
      </c>
      <c r="T6" s="11" t="s">
        <v>82</v>
      </c>
      <c r="U6" s="12">
        <v>0.05</v>
      </c>
      <c r="V6" s="12">
        <v>0</v>
      </c>
      <c r="W6" s="24">
        <v>30</v>
      </c>
      <c r="X6" t="s">
        <v>105</v>
      </c>
      <c r="Y6" t="s">
        <v>92</v>
      </c>
    </row>
    <row r="7" spans="2:25" x14ac:dyDescent="0.25">
      <c r="B7" s="11" t="s">
        <v>106</v>
      </c>
      <c r="C7" s="11" t="s">
        <v>107</v>
      </c>
      <c r="D7" s="12">
        <v>1</v>
      </c>
      <c r="E7" s="23">
        <v>29400</v>
      </c>
      <c r="F7" s="11" t="s">
        <v>82</v>
      </c>
      <c r="G7" s="24">
        <v>147</v>
      </c>
      <c r="H7" s="12">
        <v>2.0527822410435363</v>
      </c>
      <c r="I7" s="11" t="s">
        <v>83</v>
      </c>
      <c r="J7" s="11" t="s">
        <v>84</v>
      </c>
      <c r="K7" s="12">
        <v>1</v>
      </c>
      <c r="L7" s="12">
        <v>10</v>
      </c>
      <c r="M7" s="11" t="s">
        <v>85</v>
      </c>
      <c r="N7" s="11" t="s">
        <v>86</v>
      </c>
      <c r="O7" s="11" t="s">
        <v>87</v>
      </c>
      <c r="P7" s="11" t="s">
        <v>88</v>
      </c>
      <c r="Q7" s="11" t="s">
        <v>89</v>
      </c>
      <c r="R7" s="11" t="s">
        <v>90</v>
      </c>
      <c r="S7" s="11" t="s">
        <v>83</v>
      </c>
      <c r="T7" s="11" t="s">
        <v>82</v>
      </c>
      <c r="U7" s="12">
        <v>0.05</v>
      </c>
      <c r="V7" s="12">
        <v>0</v>
      </c>
      <c r="W7" s="24">
        <v>30</v>
      </c>
      <c r="X7" t="s">
        <v>108</v>
      </c>
      <c r="Y7" t="s">
        <v>92</v>
      </c>
    </row>
    <row r="8" spans="2:25" x14ac:dyDescent="0.25">
      <c r="B8" s="11" t="s">
        <v>109</v>
      </c>
      <c r="C8" s="11" t="s">
        <v>110</v>
      </c>
      <c r="D8" s="12">
        <v>1</v>
      </c>
      <c r="E8" s="23">
        <v>36200</v>
      </c>
      <c r="F8" s="11" t="s">
        <v>82</v>
      </c>
      <c r="G8" s="24">
        <v>181</v>
      </c>
      <c r="H8" s="12">
        <v>1.9724021394942277</v>
      </c>
      <c r="I8" s="11" t="s">
        <v>83</v>
      </c>
      <c r="J8" s="11" t="s">
        <v>84</v>
      </c>
      <c r="K8" s="12">
        <v>1</v>
      </c>
      <c r="L8" s="12">
        <v>10</v>
      </c>
      <c r="M8" s="11" t="s">
        <v>85</v>
      </c>
      <c r="N8" s="11" t="s">
        <v>86</v>
      </c>
      <c r="O8" s="11" t="s">
        <v>87</v>
      </c>
      <c r="P8" s="11" t="s">
        <v>88</v>
      </c>
      <c r="Q8" s="11" t="s">
        <v>89</v>
      </c>
      <c r="R8" s="11" t="s">
        <v>90</v>
      </c>
      <c r="S8" s="11" t="s">
        <v>83</v>
      </c>
      <c r="T8" s="11" t="s">
        <v>82</v>
      </c>
      <c r="U8" s="12">
        <v>0.05</v>
      </c>
      <c r="V8" s="12">
        <v>0</v>
      </c>
      <c r="W8" s="24">
        <v>30</v>
      </c>
      <c r="X8" t="s">
        <v>111</v>
      </c>
      <c r="Y8" t="s">
        <v>92</v>
      </c>
    </row>
    <row r="9" spans="2:25" x14ac:dyDescent="0.25">
      <c r="B9" s="11" t="s">
        <v>112</v>
      </c>
      <c r="C9" s="11" t="s">
        <v>113</v>
      </c>
      <c r="D9" s="12" t="s">
        <v>101</v>
      </c>
      <c r="E9" s="23">
        <f>AVERAGE(E6:E8)</f>
        <v>35000</v>
      </c>
      <c r="G9" s="24" t="s">
        <v>102</v>
      </c>
      <c r="H9" s="12">
        <f>STDEV(E6:E8)/AVERAGE(E6:E8)*100</f>
        <v>14.591023239775661</v>
      </c>
    </row>
    <row r="10" spans="2:25" x14ac:dyDescent="0.25">
      <c r="B10" s="11" t="s">
        <v>114</v>
      </c>
      <c r="C10" s="11" t="s">
        <v>115</v>
      </c>
      <c r="D10" s="12">
        <v>1</v>
      </c>
      <c r="E10" s="23">
        <v>38600</v>
      </c>
      <c r="F10" s="11" t="s">
        <v>82</v>
      </c>
      <c r="G10" s="24">
        <v>193</v>
      </c>
      <c r="H10" s="12">
        <v>1.9492964156536516</v>
      </c>
      <c r="I10" s="11" t="s">
        <v>83</v>
      </c>
      <c r="J10" s="11" t="s">
        <v>84</v>
      </c>
      <c r="K10" s="12">
        <v>1</v>
      </c>
      <c r="L10" s="12">
        <v>10</v>
      </c>
      <c r="M10" s="11" t="s">
        <v>85</v>
      </c>
      <c r="N10" s="11" t="s">
        <v>86</v>
      </c>
      <c r="O10" s="11" t="s">
        <v>87</v>
      </c>
      <c r="P10" s="11" t="s">
        <v>88</v>
      </c>
      <c r="Q10" s="11" t="s">
        <v>89</v>
      </c>
      <c r="R10" s="11" t="s">
        <v>90</v>
      </c>
      <c r="S10" s="11" t="s">
        <v>83</v>
      </c>
      <c r="T10" s="11" t="s">
        <v>82</v>
      </c>
      <c r="U10" s="12">
        <v>0.05</v>
      </c>
      <c r="V10" s="12">
        <v>0</v>
      </c>
      <c r="W10" s="24">
        <v>30</v>
      </c>
      <c r="X10" t="s">
        <v>116</v>
      </c>
      <c r="Y10" t="s">
        <v>92</v>
      </c>
    </row>
    <row r="11" spans="2:25" x14ac:dyDescent="0.25">
      <c r="B11" s="11" t="s">
        <v>117</v>
      </c>
      <c r="C11" s="11" t="s">
        <v>118</v>
      </c>
      <c r="D11" s="12">
        <v>1</v>
      </c>
      <c r="E11" s="23">
        <v>40600</v>
      </c>
      <c r="F11" s="11" t="s">
        <v>82</v>
      </c>
      <c r="G11" s="24">
        <v>203</v>
      </c>
      <c r="H11" s="12">
        <v>1.8422876293694037</v>
      </c>
      <c r="I11" s="11" t="s">
        <v>83</v>
      </c>
      <c r="J11" s="11" t="s">
        <v>84</v>
      </c>
      <c r="K11" s="12">
        <v>1</v>
      </c>
      <c r="L11" s="12">
        <v>10</v>
      </c>
      <c r="M11" s="11" t="s">
        <v>85</v>
      </c>
      <c r="N11" s="11" t="s">
        <v>86</v>
      </c>
      <c r="O11" s="11" t="s">
        <v>87</v>
      </c>
      <c r="P11" s="11" t="s">
        <v>88</v>
      </c>
      <c r="Q11" s="11" t="s">
        <v>89</v>
      </c>
      <c r="R11" s="11" t="s">
        <v>90</v>
      </c>
      <c r="S11" s="11" t="s">
        <v>83</v>
      </c>
      <c r="T11" s="11" t="s">
        <v>82</v>
      </c>
      <c r="U11" s="12">
        <v>0.05</v>
      </c>
      <c r="V11" s="12">
        <v>0</v>
      </c>
      <c r="W11" s="24">
        <v>30</v>
      </c>
      <c r="X11" t="s">
        <v>119</v>
      </c>
      <c r="Y11" t="s">
        <v>92</v>
      </c>
    </row>
    <row r="12" spans="2:25" x14ac:dyDescent="0.25">
      <c r="B12" s="11" t="s">
        <v>120</v>
      </c>
      <c r="C12" s="11" t="s">
        <v>121</v>
      </c>
      <c r="D12" s="12">
        <v>1</v>
      </c>
      <c r="E12" s="23">
        <v>39800</v>
      </c>
      <c r="F12" s="11" t="s">
        <v>82</v>
      </c>
      <c r="G12" s="24">
        <v>199</v>
      </c>
      <c r="H12" s="12">
        <v>1.9026143958432604</v>
      </c>
      <c r="I12" s="11" t="s">
        <v>83</v>
      </c>
      <c r="J12" s="11" t="s">
        <v>84</v>
      </c>
      <c r="K12" s="12">
        <v>1</v>
      </c>
      <c r="L12" s="12">
        <v>10</v>
      </c>
      <c r="M12" s="11" t="s">
        <v>85</v>
      </c>
      <c r="N12" s="11" t="s">
        <v>86</v>
      </c>
      <c r="O12" s="11" t="s">
        <v>87</v>
      </c>
      <c r="P12" s="11" t="s">
        <v>88</v>
      </c>
      <c r="Q12" s="11" t="s">
        <v>89</v>
      </c>
      <c r="R12" s="11" t="s">
        <v>90</v>
      </c>
      <c r="S12" s="11" t="s">
        <v>83</v>
      </c>
      <c r="T12" s="11" t="s">
        <v>82</v>
      </c>
      <c r="U12" s="12">
        <v>0.05</v>
      </c>
      <c r="V12" s="12">
        <v>0</v>
      </c>
      <c r="W12" s="24">
        <v>30</v>
      </c>
      <c r="X12" t="s">
        <v>122</v>
      </c>
      <c r="Y12" t="s">
        <v>92</v>
      </c>
    </row>
    <row r="13" spans="2:25" x14ac:dyDescent="0.25">
      <c r="B13" s="11" t="s">
        <v>123</v>
      </c>
      <c r="C13" s="11" t="s">
        <v>124</v>
      </c>
      <c r="D13" s="12" t="s">
        <v>101</v>
      </c>
      <c r="E13" s="23">
        <f>AVERAGE(E10:E12)</f>
        <v>39666.666666666664</v>
      </c>
      <c r="G13" s="24" t="s">
        <v>102</v>
      </c>
      <c r="H13" s="12">
        <f>STDEV(E10:E12)/AVERAGE(E10:E12)*100</f>
        <v>2.5377594740405884</v>
      </c>
    </row>
    <row r="14" spans="2:25" x14ac:dyDescent="0.25">
      <c r="B14" s="11" t="s">
        <v>125</v>
      </c>
      <c r="C14" s="11" t="s">
        <v>126</v>
      </c>
      <c r="D14" s="12">
        <v>1</v>
      </c>
      <c r="E14" s="23">
        <v>23200</v>
      </c>
      <c r="F14" s="11" t="s">
        <v>82</v>
      </c>
      <c r="G14" s="24">
        <v>116</v>
      </c>
      <c r="H14" s="12">
        <v>2.0723392878622358</v>
      </c>
      <c r="I14" s="11" t="s">
        <v>83</v>
      </c>
      <c r="J14" s="11" t="s">
        <v>84</v>
      </c>
      <c r="K14" s="12">
        <v>1</v>
      </c>
      <c r="L14" s="12">
        <v>10</v>
      </c>
      <c r="M14" s="11" t="s">
        <v>85</v>
      </c>
      <c r="N14" s="11" t="s">
        <v>86</v>
      </c>
      <c r="O14" s="11" t="s">
        <v>87</v>
      </c>
      <c r="P14" s="11" t="s">
        <v>88</v>
      </c>
      <c r="Q14" s="11" t="s">
        <v>89</v>
      </c>
      <c r="R14" s="11" t="s">
        <v>90</v>
      </c>
      <c r="S14" s="11" t="s">
        <v>83</v>
      </c>
      <c r="T14" s="11" t="s">
        <v>82</v>
      </c>
      <c r="U14" s="12">
        <v>0.05</v>
      </c>
      <c r="V14" s="12">
        <v>0</v>
      </c>
      <c r="W14" s="24">
        <v>30</v>
      </c>
      <c r="X14" t="s">
        <v>127</v>
      </c>
      <c r="Y14" t="s">
        <v>92</v>
      </c>
    </row>
    <row r="15" spans="2:25" x14ac:dyDescent="0.25">
      <c r="B15" s="11" t="s">
        <v>128</v>
      </c>
      <c r="C15" s="11" t="s">
        <v>129</v>
      </c>
      <c r="D15" s="12">
        <v>1</v>
      </c>
      <c r="E15" s="23">
        <v>23200</v>
      </c>
      <c r="F15" s="11" t="s">
        <v>82</v>
      </c>
      <c r="G15" s="24">
        <v>116</v>
      </c>
      <c r="H15" s="12">
        <v>2.1854068910742295</v>
      </c>
      <c r="I15" s="11" t="s">
        <v>83</v>
      </c>
      <c r="J15" s="11" t="s">
        <v>84</v>
      </c>
      <c r="K15" s="12">
        <v>1</v>
      </c>
      <c r="L15" s="12">
        <v>10</v>
      </c>
      <c r="M15" s="11" t="s">
        <v>85</v>
      </c>
      <c r="N15" s="11" t="s">
        <v>86</v>
      </c>
      <c r="O15" s="11" t="s">
        <v>87</v>
      </c>
      <c r="P15" s="11" t="s">
        <v>88</v>
      </c>
      <c r="Q15" s="11" t="s">
        <v>89</v>
      </c>
      <c r="R15" s="11" t="s">
        <v>90</v>
      </c>
      <c r="S15" s="11" t="s">
        <v>83</v>
      </c>
      <c r="T15" s="11" t="s">
        <v>82</v>
      </c>
      <c r="U15" s="12">
        <v>0.05</v>
      </c>
      <c r="V15" s="12">
        <v>0</v>
      </c>
      <c r="W15" s="24">
        <v>30</v>
      </c>
      <c r="X15" t="s">
        <v>130</v>
      </c>
      <c r="Y15" t="s">
        <v>92</v>
      </c>
    </row>
    <row r="16" spans="2:25" x14ac:dyDescent="0.25">
      <c r="B16" s="11" t="s">
        <v>131</v>
      </c>
      <c r="C16" s="11" t="s">
        <v>132</v>
      </c>
      <c r="D16" s="12">
        <v>1</v>
      </c>
      <c r="E16" s="23">
        <v>19600</v>
      </c>
      <c r="F16" s="11" t="s">
        <v>82</v>
      </c>
      <c r="G16" s="24">
        <v>98</v>
      </c>
      <c r="H16" s="12">
        <v>2.1576398888187405</v>
      </c>
      <c r="I16" s="11" t="s">
        <v>83</v>
      </c>
      <c r="J16" s="11" t="s">
        <v>84</v>
      </c>
      <c r="K16" s="12">
        <v>1</v>
      </c>
      <c r="L16" s="12">
        <v>10</v>
      </c>
      <c r="M16" s="11" t="s">
        <v>85</v>
      </c>
      <c r="N16" s="11" t="s">
        <v>86</v>
      </c>
      <c r="O16" s="11" t="s">
        <v>87</v>
      </c>
      <c r="P16" s="11" t="s">
        <v>88</v>
      </c>
      <c r="Q16" s="11" t="s">
        <v>89</v>
      </c>
      <c r="R16" s="11" t="s">
        <v>90</v>
      </c>
      <c r="S16" s="11" t="s">
        <v>83</v>
      </c>
      <c r="T16" s="11" t="s">
        <v>82</v>
      </c>
      <c r="U16" s="12">
        <v>0.05</v>
      </c>
      <c r="V16" s="12">
        <v>0</v>
      </c>
      <c r="W16" s="24">
        <v>30</v>
      </c>
      <c r="X16" t="s">
        <v>133</v>
      </c>
      <c r="Y16" t="s">
        <v>92</v>
      </c>
    </row>
    <row r="17" spans="2:25" x14ac:dyDescent="0.25">
      <c r="B17" s="11" t="s">
        <v>134</v>
      </c>
      <c r="C17" s="11" t="s">
        <v>135</v>
      </c>
      <c r="D17" s="12" t="s">
        <v>101</v>
      </c>
      <c r="E17" s="23">
        <f>AVERAGE(E14:E16)</f>
        <v>22000</v>
      </c>
      <c r="G17" s="24" t="s">
        <v>102</v>
      </c>
      <c r="H17" s="12">
        <f>STDEV(E14:E16)/AVERAGE(E14:E16)*100</f>
        <v>9.447549859466605</v>
      </c>
    </row>
    <row r="18" spans="2:25" x14ac:dyDescent="0.25">
      <c r="B18" s="11" t="s">
        <v>136</v>
      </c>
      <c r="C18" s="11" t="s">
        <v>137</v>
      </c>
      <c r="D18" s="12">
        <v>1</v>
      </c>
      <c r="E18" s="23">
        <v>30200</v>
      </c>
      <c r="F18" s="11" t="s">
        <v>82</v>
      </c>
      <c r="G18" s="24">
        <v>151</v>
      </c>
      <c r="H18" s="12">
        <v>2.0804392866613899</v>
      </c>
      <c r="I18" s="11" t="s">
        <v>83</v>
      </c>
      <c r="J18" s="11" t="s">
        <v>84</v>
      </c>
      <c r="K18" s="12">
        <v>1</v>
      </c>
      <c r="L18" s="12">
        <v>10</v>
      </c>
      <c r="M18" s="11" t="s">
        <v>85</v>
      </c>
      <c r="N18" s="11" t="s">
        <v>86</v>
      </c>
      <c r="O18" s="11" t="s">
        <v>87</v>
      </c>
      <c r="P18" s="11" t="s">
        <v>88</v>
      </c>
      <c r="Q18" s="11" t="s">
        <v>89</v>
      </c>
      <c r="R18" s="11" t="s">
        <v>90</v>
      </c>
      <c r="S18" s="11" t="s">
        <v>83</v>
      </c>
      <c r="T18" s="11" t="s">
        <v>82</v>
      </c>
      <c r="U18" s="12">
        <v>0.05</v>
      </c>
      <c r="V18" s="12">
        <v>0</v>
      </c>
      <c r="W18" s="24">
        <v>30</v>
      </c>
      <c r="X18" t="s">
        <v>138</v>
      </c>
      <c r="Y18" t="s">
        <v>92</v>
      </c>
    </row>
    <row r="19" spans="2:25" x14ac:dyDescent="0.25">
      <c r="B19" s="11" t="s">
        <v>139</v>
      </c>
      <c r="C19" s="11" t="s">
        <v>140</v>
      </c>
      <c r="D19" s="12">
        <v>1</v>
      </c>
      <c r="E19" s="23">
        <v>32200</v>
      </c>
      <c r="F19" s="11" t="s">
        <v>82</v>
      </c>
      <c r="G19" s="24">
        <v>161</v>
      </c>
      <c r="H19" s="12">
        <v>1.9880039360927215</v>
      </c>
      <c r="I19" s="11" t="s">
        <v>83</v>
      </c>
      <c r="J19" s="11" t="s">
        <v>84</v>
      </c>
      <c r="K19" s="12">
        <v>1</v>
      </c>
      <c r="L19" s="12">
        <v>10</v>
      </c>
      <c r="M19" s="11" t="s">
        <v>85</v>
      </c>
      <c r="N19" s="11" t="s">
        <v>86</v>
      </c>
      <c r="O19" s="11" t="s">
        <v>87</v>
      </c>
      <c r="P19" s="11" t="s">
        <v>88</v>
      </c>
      <c r="Q19" s="11" t="s">
        <v>89</v>
      </c>
      <c r="R19" s="11" t="s">
        <v>90</v>
      </c>
      <c r="S19" s="11" t="s">
        <v>83</v>
      </c>
      <c r="T19" s="11" t="s">
        <v>82</v>
      </c>
      <c r="U19" s="12">
        <v>0.05</v>
      </c>
      <c r="V19" s="12">
        <v>0</v>
      </c>
      <c r="W19" s="24">
        <v>30</v>
      </c>
      <c r="X19" t="s">
        <v>141</v>
      </c>
      <c r="Y19" t="s">
        <v>92</v>
      </c>
    </row>
    <row r="20" spans="2:25" x14ac:dyDescent="0.25">
      <c r="B20" s="11" t="s">
        <v>142</v>
      </c>
      <c r="C20" s="11" t="s">
        <v>143</v>
      </c>
      <c r="D20" s="12">
        <v>1</v>
      </c>
      <c r="E20" s="23">
        <v>28000</v>
      </c>
      <c r="F20" s="11" t="s">
        <v>82</v>
      </c>
      <c r="G20" s="24">
        <v>140</v>
      </c>
      <c r="H20" s="12">
        <v>2.0296915561320619</v>
      </c>
      <c r="I20" s="11" t="s">
        <v>83</v>
      </c>
      <c r="J20" s="11" t="s">
        <v>84</v>
      </c>
      <c r="K20" s="12">
        <v>1</v>
      </c>
      <c r="L20" s="12">
        <v>10</v>
      </c>
      <c r="M20" s="11" t="s">
        <v>85</v>
      </c>
      <c r="N20" s="11" t="s">
        <v>86</v>
      </c>
      <c r="O20" s="11" t="s">
        <v>87</v>
      </c>
      <c r="P20" s="11" t="s">
        <v>88</v>
      </c>
      <c r="Q20" s="11" t="s">
        <v>89</v>
      </c>
      <c r="R20" s="11" t="s">
        <v>90</v>
      </c>
      <c r="S20" s="11" t="s">
        <v>83</v>
      </c>
      <c r="T20" s="11" t="s">
        <v>82</v>
      </c>
      <c r="U20" s="12">
        <v>0.05</v>
      </c>
      <c r="V20" s="12">
        <v>0</v>
      </c>
      <c r="W20" s="24">
        <v>30</v>
      </c>
      <c r="X20" t="s">
        <v>144</v>
      </c>
      <c r="Y20" t="s">
        <v>92</v>
      </c>
    </row>
    <row r="21" spans="2:25" x14ac:dyDescent="0.25">
      <c r="B21" s="11" t="s">
        <v>145</v>
      </c>
      <c r="C21" s="11" t="s">
        <v>146</v>
      </c>
      <c r="D21" s="12" t="s">
        <v>101</v>
      </c>
      <c r="E21" s="23">
        <f>AVERAGE(E18:E20)</f>
        <v>30133.333333333332</v>
      </c>
      <c r="G21" s="24" t="s">
        <v>102</v>
      </c>
      <c r="H21" s="12">
        <f>STDEV(E18:E20)/AVERAGE(E18:E20)*100</f>
        <v>6.9716598480481116</v>
      </c>
    </row>
    <row r="22" spans="2:25" x14ac:dyDescent="0.25">
      <c r="B22" s="11" t="s">
        <v>147</v>
      </c>
      <c r="C22" s="11" t="s">
        <v>148</v>
      </c>
      <c r="D22" s="12">
        <v>1</v>
      </c>
      <c r="E22" s="23">
        <v>30800</v>
      </c>
      <c r="F22" s="11" t="s">
        <v>82</v>
      </c>
      <c r="G22" s="24">
        <v>154</v>
      </c>
      <c r="H22" s="12">
        <v>2.1567406745291864</v>
      </c>
      <c r="I22" s="11" t="s">
        <v>83</v>
      </c>
      <c r="J22" s="11" t="s">
        <v>84</v>
      </c>
      <c r="K22" s="12">
        <v>1</v>
      </c>
      <c r="L22" s="12">
        <v>10</v>
      </c>
      <c r="M22" s="11" t="s">
        <v>85</v>
      </c>
      <c r="N22" s="11" t="s">
        <v>86</v>
      </c>
      <c r="O22" s="11" t="s">
        <v>87</v>
      </c>
      <c r="P22" s="11" t="s">
        <v>88</v>
      </c>
      <c r="Q22" s="11" t="s">
        <v>89</v>
      </c>
      <c r="R22" s="11" t="s">
        <v>90</v>
      </c>
      <c r="S22" s="11" t="s">
        <v>83</v>
      </c>
      <c r="T22" s="11" t="s">
        <v>82</v>
      </c>
      <c r="U22" s="12">
        <v>0.05</v>
      </c>
      <c r="V22" s="12">
        <v>0</v>
      </c>
      <c r="W22" s="24">
        <v>30</v>
      </c>
      <c r="X22" t="s">
        <v>149</v>
      </c>
      <c r="Y22" t="s">
        <v>92</v>
      </c>
    </row>
    <row r="23" spans="2:25" x14ac:dyDescent="0.25">
      <c r="B23" s="11" t="s">
        <v>150</v>
      </c>
      <c r="C23" s="11" t="s">
        <v>151</v>
      </c>
      <c r="D23" s="12">
        <v>1</v>
      </c>
      <c r="E23" s="23">
        <v>37200</v>
      </c>
      <c r="F23" s="11" t="s">
        <v>82</v>
      </c>
      <c r="G23" s="24">
        <v>186</v>
      </c>
      <c r="H23" s="12">
        <v>1.9664300814625035</v>
      </c>
      <c r="I23" s="11" t="s">
        <v>83</v>
      </c>
      <c r="J23" s="11" t="s">
        <v>84</v>
      </c>
      <c r="K23" s="12">
        <v>1</v>
      </c>
      <c r="L23" s="12">
        <v>10</v>
      </c>
      <c r="M23" s="11" t="s">
        <v>85</v>
      </c>
      <c r="N23" s="11" t="s">
        <v>86</v>
      </c>
      <c r="O23" s="11" t="s">
        <v>87</v>
      </c>
      <c r="P23" s="11" t="s">
        <v>88</v>
      </c>
      <c r="Q23" s="11" t="s">
        <v>89</v>
      </c>
      <c r="R23" s="11" t="s">
        <v>90</v>
      </c>
      <c r="S23" s="11" t="s">
        <v>83</v>
      </c>
      <c r="T23" s="11" t="s">
        <v>82</v>
      </c>
      <c r="U23" s="12">
        <v>0.05</v>
      </c>
      <c r="V23" s="12">
        <v>0</v>
      </c>
      <c r="W23" s="24">
        <v>30</v>
      </c>
      <c r="X23" t="s">
        <v>152</v>
      </c>
      <c r="Y23" t="s">
        <v>92</v>
      </c>
    </row>
    <row r="24" spans="2:25" x14ac:dyDescent="0.25">
      <c r="B24" s="11" t="s">
        <v>153</v>
      </c>
      <c r="C24" s="11" t="s">
        <v>154</v>
      </c>
      <c r="D24" s="12">
        <v>1</v>
      </c>
      <c r="E24" s="23">
        <v>32600</v>
      </c>
      <c r="F24" s="11" t="s">
        <v>82</v>
      </c>
      <c r="G24" s="24">
        <v>163</v>
      </c>
      <c r="H24" s="12">
        <v>2.0495062369447306</v>
      </c>
      <c r="I24" s="11" t="s">
        <v>83</v>
      </c>
      <c r="J24" s="11" t="s">
        <v>84</v>
      </c>
      <c r="K24" s="12">
        <v>1</v>
      </c>
      <c r="L24" s="12">
        <v>10</v>
      </c>
      <c r="M24" s="11" t="s">
        <v>85</v>
      </c>
      <c r="N24" s="11" t="s">
        <v>86</v>
      </c>
      <c r="O24" s="11" t="s">
        <v>87</v>
      </c>
      <c r="P24" s="11" t="s">
        <v>88</v>
      </c>
      <c r="Q24" s="11" t="s">
        <v>89</v>
      </c>
      <c r="R24" s="11" t="s">
        <v>90</v>
      </c>
      <c r="S24" s="11" t="s">
        <v>83</v>
      </c>
      <c r="T24" s="11" t="s">
        <v>82</v>
      </c>
      <c r="U24" s="12">
        <v>0.05</v>
      </c>
      <c r="V24" s="12">
        <v>0</v>
      </c>
      <c r="W24" s="24">
        <v>30</v>
      </c>
      <c r="X24" t="s">
        <v>155</v>
      </c>
      <c r="Y24" t="s">
        <v>92</v>
      </c>
    </row>
    <row r="25" spans="2:25" x14ac:dyDescent="0.25">
      <c r="B25" s="11" t="s">
        <v>156</v>
      </c>
      <c r="C25" s="11" t="s">
        <v>157</v>
      </c>
      <c r="D25" s="12" t="s">
        <v>101</v>
      </c>
      <c r="E25" s="23">
        <f>AVERAGE(E22:E24)</f>
        <v>33533.333333333336</v>
      </c>
      <c r="G25" s="24" t="s">
        <v>102</v>
      </c>
      <c r="H25" s="12">
        <f>STDEV(E22:E24)/AVERAGE(E22:E24)*100</f>
        <v>9.8424602739455782</v>
      </c>
    </row>
    <row r="26" spans="2:25" x14ac:dyDescent="0.25">
      <c r="B26" s="11" t="s">
        <v>158</v>
      </c>
      <c r="C26" s="11" t="s">
        <v>159</v>
      </c>
      <c r="D26" s="12">
        <v>1</v>
      </c>
      <c r="E26" s="23">
        <v>27400</v>
      </c>
      <c r="F26" s="11" t="s">
        <v>82</v>
      </c>
      <c r="G26" s="24">
        <v>137</v>
      </c>
      <c r="H26" s="12">
        <v>2.0267030060627049</v>
      </c>
      <c r="I26" s="11" t="s">
        <v>83</v>
      </c>
      <c r="J26" s="11" t="s">
        <v>84</v>
      </c>
      <c r="K26" s="12">
        <v>1</v>
      </c>
      <c r="L26" s="12">
        <v>10</v>
      </c>
      <c r="M26" s="11" t="s">
        <v>85</v>
      </c>
      <c r="N26" s="11" t="s">
        <v>86</v>
      </c>
      <c r="O26" s="11" t="s">
        <v>87</v>
      </c>
      <c r="P26" s="11" t="s">
        <v>88</v>
      </c>
      <c r="Q26" s="11" t="s">
        <v>89</v>
      </c>
      <c r="R26" s="11" t="s">
        <v>90</v>
      </c>
      <c r="S26" s="11" t="s">
        <v>83</v>
      </c>
      <c r="T26" s="11" t="s">
        <v>82</v>
      </c>
      <c r="U26" s="12">
        <v>0.05</v>
      </c>
      <c r="V26" s="12">
        <v>0</v>
      </c>
      <c r="W26" s="24">
        <v>30</v>
      </c>
      <c r="X26" t="s">
        <v>160</v>
      </c>
      <c r="Y26" t="s">
        <v>92</v>
      </c>
    </row>
    <row r="27" spans="2:25" x14ac:dyDescent="0.25">
      <c r="B27" s="11" t="s">
        <v>161</v>
      </c>
      <c r="C27" s="11" t="s">
        <v>162</v>
      </c>
      <c r="D27" s="12">
        <v>1</v>
      </c>
      <c r="E27" s="23">
        <v>30800</v>
      </c>
      <c r="F27" s="11" t="s">
        <v>82</v>
      </c>
      <c r="G27" s="24">
        <v>154</v>
      </c>
      <c r="H27" s="12">
        <v>1.9753255629136017</v>
      </c>
      <c r="I27" s="11" t="s">
        <v>83</v>
      </c>
      <c r="J27" s="11" t="s">
        <v>84</v>
      </c>
      <c r="K27" s="12">
        <v>1</v>
      </c>
      <c r="L27" s="12">
        <v>10</v>
      </c>
      <c r="M27" s="11" t="s">
        <v>85</v>
      </c>
      <c r="N27" s="11" t="s">
        <v>86</v>
      </c>
      <c r="O27" s="11" t="s">
        <v>87</v>
      </c>
      <c r="P27" s="11" t="s">
        <v>88</v>
      </c>
      <c r="Q27" s="11" t="s">
        <v>89</v>
      </c>
      <c r="R27" s="11" t="s">
        <v>90</v>
      </c>
      <c r="S27" s="11" t="s">
        <v>83</v>
      </c>
      <c r="T27" s="11" t="s">
        <v>82</v>
      </c>
      <c r="U27" s="12">
        <v>0.05</v>
      </c>
      <c r="V27" s="12">
        <v>0</v>
      </c>
      <c r="W27" s="24">
        <v>30</v>
      </c>
      <c r="X27" t="s">
        <v>163</v>
      </c>
      <c r="Y27" t="s">
        <v>92</v>
      </c>
    </row>
    <row r="28" spans="2:25" x14ac:dyDescent="0.25">
      <c r="B28" s="11" t="s">
        <v>164</v>
      </c>
      <c r="C28" s="11" t="s">
        <v>165</v>
      </c>
      <c r="D28" s="12">
        <v>1</v>
      </c>
      <c r="E28" s="23">
        <v>24400</v>
      </c>
      <c r="F28" s="11" t="s">
        <v>82</v>
      </c>
      <c r="G28" s="24">
        <v>122</v>
      </c>
      <c r="H28" s="12">
        <v>2.0479540053908489</v>
      </c>
      <c r="I28" s="11" t="s">
        <v>83</v>
      </c>
      <c r="J28" s="11" t="s">
        <v>84</v>
      </c>
      <c r="K28" s="12">
        <v>1</v>
      </c>
      <c r="L28" s="12">
        <v>10</v>
      </c>
      <c r="M28" s="11" t="s">
        <v>85</v>
      </c>
      <c r="N28" s="11" t="s">
        <v>86</v>
      </c>
      <c r="O28" s="11" t="s">
        <v>87</v>
      </c>
      <c r="P28" s="11" t="s">
        <v>88</v>
      </c>
      <c r="Q28" s="11" t="s">
        <v>89</v>
      </c>
      <c r="R28" s="11" t="s">
        <v>90</v>
      </c>
      <c r="S28" s="11" t="s">
        <v>83</v>
      </c>
      <c r="T28" s="11" t="s">
        <v>82</v>
      </c>
      <c r="U28" s="12">
        <v>0.05</v>
      </c>
      <c r="V28" s="12">
        <v>0</v>
      </c>
      <c r="W28" s="24">
        <v>30</v>
      </c>
      <c r="X28" t="s">
        <v>166</v>
      </c>
      <c r="Y28" t="s">
        <v>92</v>
      </c>
    </row>
    <row r="29" spans="2:25" x14ac:dyDescent="0.25">
      <c r="B29" s="11" t="s">
        <v>167</v>
      </c>
      <c r="C29" s="11" t="s">
        <v>168</v>
      </c>
      <c r="D29" s="12" t="s">
        <v>101</v>
      </c>
      <c r="E29" s="23">
        <f>AVERAGE(E26:E28)</f>
        <v>27533.333333333332</v>
      </c>
      <c r="G29" s="24" t="s">
        <v>102</v>
      </c>
      <c r="H29" s="12">
        <f>STDEV(E26:E28)/AVERAGE(E26:E28)*100</f>
        <v>11.629840153533005</v>
      </c>
    </row>
    <row r="30" spans="2:25" x14ac:dyDescent="0.25">
      <c r="B30" s="11" t="s">
        <v>169</v>
      </c>
      <c r="C30" s="11" t="s">
        <v>170</v>
      </c>
      <c r="D30" s="12">
        <v>1</v>
      </c>
      <c r="E30" s="23">
        <v>27800</v>
      </c>
      <c r="F30" s="11" t="s">
        <v>82</v>
      </c>
      <c r="G30" s="24">
        <v>139</v>
      </c>
      <c r="H30" s="12">
        <v>2.1575443881479281</v>
      </c>
      <c r="I30" s="11" t="s">
        <v>83</v>
      </c>
      <c r="J30" s="11" t="s">
        <v>84</v>
      </c>
      <c r="K30" s="12">
        <v>1</v>
      </c>
      <c r="L30" s="12">
        <v>10</v>
      </c>
      <c r="M30" s="11" t="s">
        <v>85</v>
      </c>
      <c r="N30" s="11" t="s">
        <v>86</v>
      </c>
      <c r="O30" s="11" t="s">
        <v>87</v>
      </c>
      <c r="P30" s="11" t="s">
        <v>88</v>
      </c>
      <c r="Q30" s="11" t="s">
        <v>89</v>
      </c>
      <c r="R30" s="11" t="s">
        <v>90</v>
      </c>
      <c r="S30" s="11" t="s">
        <v>83</v>
      </c>
      <c r="T30" s="11" t="s">
        <v>82</v>
      </c>
      <c r="U30" s="12">
        <v>0.05</v>
      </c>
      <c r="V30" s="12">
        <v>0</v>
      </c>
      <c r="W30" s="24">
        <v>30</v>
      </c>
      <c r="X30" t="s">
        <v>171</v>
      </c>
      <c r="Y30" t="s">
        <v>92</v>
      </c>
    </row>
    <row r="31" spans="2:25" x14ac:dyDescent="0.25">
      <c r="B31" s="11" t="s">
        <v>172</v>
      </c>
      <c r="C31" s="11" t="s">
        <v>173</v>
      </c>
      <c r="D31" s="12">
        <v>1</v>
      </c>
      <c r="E31" s="23">
        <v>26000</v>
      </c>
      <c r="F31" s="11" t="s">
        <v>82</v>
      </c>
      <c r="G31" s="24">
        <v>130</v>
      </c>
      <c r="H31" s="12">
        <v>2.1444694877188306</v>
      </c>
      <c r="I31" s="11" t="s">
        <v>83</v>
      </c>
      <c r="J31" s="11" t="s">
        <v>84</v>
      </c>
      <c r="K31" s="12">
        <v>1</v>
      </c>
      <c r="L31" s="12">
        <v>10</v>
      </c>
      <c r="M31" s="11" t="s">
        <v>85</v>
      </c>
      <c r="N31" s="11" t="s">
        <v>86</v>
      </c>
      <c r="O31" s="11" t="s">
        <v>87</v>
      </c>
      <c r="P31" s="11" t="s">
        <v>88</v>
      </c>
      <c r="Q31" s="11" t="s">
        <v>89</v>
      </c>
      <c r="R31" s="11" t="s">
        <v>90</v>
      </c>
      <c r="S31" s="11" t="s">
        <v>83</v>
      </c>
      <c r="T31" s="11" t="s">
        <v>82</v>
      </c>
      <c r="U31" s="12">
        <v>0.05</v>
      </c>
      <c r="V31" s="12">
        <v>0</v>
      </c>
      <c r="W31" s="24">
        <v>30</v>
      </c>
      <c r="X31" t="s">
        <v>174</v>
      </c>
      <c r="Y31" t="s">
        <v>92</v>
      </c>
    </row>
    <row r="32" spans="2:25" x14ac:dyDescent="0.25">
      <c r="B32" s="11" t="s">
        <v>175</v>
      </c>
      <c r="C32" s="11" t="s">
        <v>176</v>
      </c>
      <c r="D32" s="12">
        <v>1</v>
      </c>
      <c r="E32" s="23">
        <v>26000</v>
      </c>
      <c r="F32" s="11" t="s">
        <v>82</v>
      </c>
      <c r="G32" s="24">
        <v>130</v>
      </c>
      <c r="H32" s="12">
        <v>1.9896168689659781</v>
      </c>
      <c r="I32" s="11" t="s">
        <v>83</v>
      </c>
      <c r="J32" s="11" t="s">
        <v>84</v>
      </c>
      <c r="K32" s="12">
        <v>1</v>
      </c>
      <c r="L32" s="12">
        <v>10</v>
      </c>
      <c r="M32" s="11" t="s">
        <v>85</v>
      </c>
      <c r="N32" s="11" t="s">
        <v>86</v>
      </c>
      <c r="O32" s="11" t="s">
        <v>87</v>
      </c>
      <c r="P32" s="11" t="s">
        <v>88</v>
      </c>
      <c r="Q32" s="11" t="s">
        <v>89</v>
      </c>
      <c r="R32" s="11" t="s">
        <v>90</v>
      </c>
      <c r="S32" s="11" t="s">
        <v>83</v>
      </c>
      <c r="T32" s="11" t="s">
        <v>82</v>
      </c>
      <c r="U32" s="12">
        <v>0.05</v>
      </c>
      <c r="V32" s="12">
        <v>0</v>
      </c>
      <c r="W32" s="24">
        <v>30</v>
      </c>
      <c r="X32" t="s">
        <v>177</v>
      </c>
      <c r="Y32" t="s">
        <v>92</v>
      </c>
    </row>
    <row r="33" spans="1:25" x14ac:dyDescent="0.25">
      <c r="B33" s="11" t="s">
        <v>178</v>
      </c>
      <c r="C33" s="11" t="s">
        <v>179</v>
      </c>
      <c r="D33" s="12" t="s">
        <v>101</v>
      </c>
      <c r="E33" s="23">
        <f>AVERAGE(E30:E32)</f>
        <v>26600</v>
      </c>
      <c r="G33" s="24" t="s">
        <v>102</v>
      </c>
      <c r="H33" s="12">
        <f>STDEV(E30:E32)/AVERAGE(E30:E32)*100</f>
        <v>3.9068815208320542</v>
      </c>
    </row>
    <row r="34" spans="1:25" x14ac:dyDescent="0.25">
      <c r="B34" s="11" t="s">
        <v>180</v>
      </c>
      <c r="C34" s="11" t="s">
        <v>181</v>
      </c>
      <c r="D34" s="12">
        <v>1</v>
      </c>
      <c r="E34" s="23">
        <v>34800</v>
      </c>
      <c r="F34" s="11" t="s">
        <v>82</v>
      </c>
      <c r="G34" s="24">
        <v>174</v>
      </c>
      <c r="H34" s="12">
        <v>1.9455093550350182</v>
      </c>
      <c r="I34" s="11" t="s">
        <v>83</v>
      </c>
      <c r="J34" s="11" t="s">
        <v>84</v>
      </c>
      <c r="K34" s="12">
        <v>1</v>
      </c>
      <c r="L34" s="12">
        <v>10</v>
      </c>
      <c r="M34" s="11" t="s">
        <v>85</v>
      </c>
      <c r="N34" s="11" t="s">
        <v>86</v>
      </c>
      <c r="O34" s="11" t="s">
        <v>87</v>
      </c>
      <c r="P34" s="11" t="s">
        <v>88</v>
      </c>
      <c r="Q34" s="11" t="s">
        <v>89</v>
      </c>
      <c r="R34" s="11" t="s">
        <v>90</v>
      </c>
      <c r="S34" s="11" t="s">
        <v>83</v>
      </c>
      <c r="T34" s="11" t="s">
        <v>82</v>
      </c>
      <c r="U34" s="12">
        <v>0.05</v>
      </c>
      <c r="V34" s="12">
        <v>0</v>
      </c>
      <c r="W34" s="24">
        <v>30</v>
      </c>
      <c r="X34" t="s">
        <v>182</v>
      </c>
      <c r="Y34" t="s">
        <v>92</v>
      </c>
    </row>
    <row r="35" spans="1:25" x14ac:dyDescent="0.25">
      <c r="B35" s="11" t="s">
        <v>183</v>
      </c>
      <c r="C35" s="11" t="s">
        <v>184</v>
      </c>
      <c r="D35" s="12">
        <v>1</v>
      </c>
      <c r="E35" s="23">
        <v>27200</v>
      </c>
      <c r="F35" s="11" t="s">
        <v>82</v>
      </c>
      <c r="G35" s="24">
        <v>136</v>
      </c>
      <c r="H35" s="12">
        <v>2.0639203868255573</v>
      </c>
      <c r="I35" s="11" t="s">
        <v>83</v>
      </c>
      <c r="J35" s="11" t="s">
        <v>84</v>
      </c>
      <c r="K35" s="12">
        <v>1</v>
      </c>
      <c r="L35" s="12">
        <v>10</v>
      </c>
      <c r="M35" s="11" t="s">
        <v>85</v>
      </c>
      <c r="N35" s="11" t="s">
        <v>86</v>
      </c>
      <c r="O35" s="11" t="s">
        <v>87</v>
      </c>
      <c r="P35" s="11" t="s">
        <v>88</v>
      </c>
      <c r="Q35" s="11" t="s">
        <v>89</v>
      </c>
      <c r="R35" s="11" t="s">
        <v>90</v>
      </c>
      <c r="S35" s="11" t="s">
        <v>83</v>
      </c>
      <c r="T35" s="11" t="s">
        <v>82</v>
      </c>
      <c r="U35" s="12">
        <v>0.05</v>
      </c>
      <c r="V35" s="12">
        <v>0</v>
      </c>
      <c r="W35" s="24">
        <v>30</v>
      </c>
      <c r="X35" t="s">
        <v>185</v>
      </c>
      <c r="Y35" t="s">
        <v>92</v>
      </c>
    </row>
    <row r="36" spans="1:25" x14ac:dyDescent="0.25">
      <c r="B36" s="11" t="s">
        <v>186</v>
      </c>
      <c r="C36" s="11" t="s">
        <v>187</v>
      </c>
      <c r="D36" s="12">
        <v>1</v>
      </c>
      <c r="E36" s="23">
        <v>32200</v>
      </c>
      <c r="F36" s="11" t="s">
        <v>82</v>
      </c>
      <c r="G36" s="24">
        <v>161</v>
      </c>
      <c r="H36" s="12">
        <v>1.9998641637655774</v>
      </c>
      <c r="I36" s="11" t="s">
        <v>83</v>
      </c>
      <c r="J36" s="11" t="s">
        <v>84</v>
      </c>
      <c r="K36" s="12">
        <v>1</v>
      </c>
      <c r="L36" s="12">
        <v>10</v>
      </c>
      <c r="M36" s="11" t="s">
        <v>85</v>
      </c>
      <c r="N36" s="11" t="s">
        <v>86</v>
      </c>
      <c r="O36" s="11" t="s">
        <v>87</v>
      </c>
      <c r="P36" s="11" t="s">
        <v>88</v>
      </c>
      <c r="Q36" s="11" t="s">
        <v>89</v>
      </c>
      <c r="R36" s="11" t="s">
        <v>90</v>
      </c>
      <c r="S36" s="11" t="s">
        <v>83</v>
      </c>
      <c r="T36" s="11" t="s">
        <v>82</v>
      </c>
      <c r="U36" s="12">
        <v>0.05</v>
      </c>
      <c r="V36" s="12">
        <v>0</v>
      </c>
      <c r="W36" s="24">
        <v>30</v>
      </c>
      <c r="X36" t="s">
        <v>188</v>
      </c>
      <c r="Y36" t="s">
        <v>92</v>
      </c>
    </row>
    <row r="37" spans="1:25" x14ac:dyDescent="0.25">
      <c r="B37" s="11" t="s">
        <v>189</v>
      </c>
      <c r="C37" s="11" t="s">
        <v>190</v>
      </c>
      <c r="D37" s="12" t="s">
        <v>101</v>
      </c>
      <c r="E37" s="23">
        <f>AVERAGE(E34:E36)</f>
        <v>31400</v>
      </c>
      <c r="G37" s="24" t="s">
        <v>102</v>
      </c>
      <c r="H37" s="12">
        <f>STDEV(E34:E36)/AVERAGE(E34:E36)*100</f>
        <v>12.301406315813992</v>
      </c>
    </row>
    <row r="38" spans="1:25" x14ac:dyDescent="0.25">
      <c r="B38" s="11" t="s">
        <v>191</v>
      </c>
      <c r="C38" s="11" t="s">
        <v>192</v>
      </c>
      <c r="D38" s="12">
        <v>1</v>
      </c>
      <c r="E38" s="23">
        <v>32600</v>
      </c>
      <c r="F38" s="11" t="s">
        <v>82</v>
      </c>
      <c r="G38" s="24">
        <v>163</v>
      </c>
      <c r="H38" s="12">
        <v>1.9529058969576458</v>
      </c>
      <c r="I38" s="11" t="s">
        <v>83</v>
      </c>
      <c r="J38" s="11" t="s">
        <v>84</v>
      </c>
      <c r="K38" s="12">
        <v>1</v>
      </c>
      <c r="L38" s="12">
        <v>10</v>
      </c>
      <c r="M38" s="11" t="s">
        <v>85</v>
      </c>
      <c r="N38" s="11" t="s">
        <v>86</v>
      </c>
      <c r="O38" s="11" t="s">
        <v>87</v>
      </c>
      <c r="P38" s="11" t="s">
        <v>88</v>
      </c>
      <c r="Q38" s="11" t="s">
        <v>89</v>
      </c>
      <c r="R38" s="11" t="s">
        <v>90</v>
      </c>
      <c r="S38" s="11" t="s">
        <v>83</v>
      </c>
      <c r="T38" s="11" t="s">
        <v>82</v>
      </c>
      <c r="U38" s="12">
        <v>0.05</v>
      </c>
      <c r="V38" s="12">
        <v>0</v>
      </c>
      <c r="W38" s="24">
        <v>30</v>
      </c>
      <c r="X38" t="s">
        <v>193</v>
      </c>
      <c r="Y38" t="s">
        <v>92</v>
      </c>
    </row>
    <row r="39" spans="1:25" x14ac:dyDescent="0.25">
      <c r="B39" s="11" t="s">
        <v>194</v>
      </c>
      <c r="C39" s="11" t="s">
        <v>195</v>
      </c>
      <c r="D39" s="12">
        <v>1</v>
      </c>
      <c r="E39" s="23">
        <v>33000</v>
      </c>
      <c r="F39" s="11" t="s">
        <v>82</v>
      </c>
      <c r="G39" s="24">
        <v>165</v>
      </c>
      <c r="H39" s="12">
        <v>2.0441311090752632</v>
      </c>
      <c r="I39" s="11" t="s">
        <v>83</v>
      </c>
      <c r="J39" s="11" t="s">
        <v>84</v>
      </c>
      <c r="K39" s="12">
        <v>1</v>
      </c>
      <c r="L39" s="12">
        <v>10</v>
      </c>
      <c r="M39" s="11" t="s">
        <v>85</v>
      </c>
      <c r="N39" s="11" t="s">
        <v>86</v>
      </c>
      <c r="O39" s="11" t="s">
        <v>87</v>
      </c>
      <c r="P39" s="11" t="s">
        <v>88</v>
      </c>
      <c r="Q39" s="11" t="s">
        <v>89</v>
      </c>
      <c r="R39" s="11" t="s">
        <v>90</v>
      </c>
      <c r="S39" s="11" t="s">
        <v>83</v>
      </c>
      <c r="T39" s="11" t="s">
        <v>82</v>
      </c>
      <c r="U39" s="12">
        <v>0.05</v>
      </c>
      <c r="V39" s="12">
        <v>0</v>
      </c>
      <c r="W39" s="24">
        <v>30</v>
      </c>
      <c r="X39" t="s">
        <v>196</v>
      </c>
      <c r="Y39" t="s">
        <v>92</v>
      </c>
    </row>
    <row r="40" spans="1:25" x14ac:dyDescent="0.25">
      <c r="B40" s="11" t="s">
        <v>197</v>
      </c>
      <c r="C40" s="11" t="s">
        <v>198</v>
      </c>
      <c r="D40" s="12">
        <v>1</v>
      </c>
      <c r="E40" s="23">
        <v>33200</v>
      </c>
      <c r="F40" s="11" t="s">
        <v>82</v>
      </c>
      <c r="G40" s="24">
        <v>166</v>
      </c>
      <c r="H40" s="12">
        <v>1.9105038592046402</v>
      </c>
      <c r="I40" s="11" t="s">
        <v>83</v>
      </c>
      <c r="J40" s="11" t="s">
        <v>84</v>
      </c>
      <c r="K40" s="12">
        <v>1</v>
      </c>
      <c r="L40" s="12">
        <v>10</v>
      </c>
      <c r="M40" s="11" t="s">
        <v>85</v>
      </c>
      <c r="N40" s="11" t="s">
        <v>86</v>
      </c>
      <c r="O40" s="11" t="s">
        <v>87</v>
      </c>
      <c r="P40" s="11" t="s">
        <v>88</v>
      </c>
      <c r="Q40" s="11" t="s">
        <v>89</v>
      </c>
      <c r="R40" s="11" t="s">
        <v>90</v>
      </c>
      <c r="S40" s="11" t="s">
        <v>83</v>
      </c>
      <c r="T40" s="11" t="s">
        <v>82</v>
      </c>
      <c r="U40" s="12">
        <v>0.05</v>
      </c>
      <c r="V40" s="12">
        <v>0</v>
      </c>
      <c r="W40" s="24">
        <v>30</v>
      </c>
      <c r="X40" t="s">
        <v>199</v>
      </c>
      <c r="Y40" t="s">
        <v>92</v>
      </c>
    </row>
    <row r="41" spans="1:25" x14ac:dyDescent="0.25">
      <c r="B41" s="11" t="s">
        <v>200</v>
      </c>
      <c r="C41" s="11" t="s">
        <v>201</v>
      </c>
      <c r="D41" s="12" t="s">
        <v>101</v>
      </c>
      <c r="E41" s="23">
        <f>AVERAGE(E38:E40)</f>
        <v>32933.333333333336</v>
      </c>
      <c r="G41" s="24" t="s">
        <v>102</v>
      </c>
      <c r="H41" s="12">
        <f>STDEV(E38:E40)/AVERAGE(E38:E40)*100</f>
        <v>0.92764690181292297</v>
      </c>
    </row>
    <row r="43" spans="1:25" ht="38.25" x14ac:dyDescent="0.25">
      <c r="A43" s="5" t="s">
        <v>42</v>
      </c>
      <c r="B43" s="6" t="s">
        <v>43</v>
      </c>
      <c r="C43" s="7" t="s">
        <v>44</v>
      </c>
      <c r="D43" s="7" t="s">
        <v>45</v>
      </c>
      <c r="E43" s="8" t="s">
        <v>46</v>
      </c>
      <c r="F43" s="9" t="s">
        <v>47</v>
      </c>
      <c r="G43" s="10" t="s">
        <v>48</v>
      </c>
      <c r="H43" s="10" t="s">
        <v>781</v>
      </c>
    </row>
    <row r="44" spans="1:25" x14ac:dyDescent="0.25">
      <c r="A44" s="13" t="s">
        <v>50</v>
      </c>
      <c r="B44" s="14">
        <v>1</v>
      </c>
      <c r="C44" s="15">
        <f>E5</f>
        <v>47366.666666666664</v>
      </c>
      <c r="D44" s="16">
        <v>5.0999999999999996</v>
      </c>
      <c r="E44" s="17">
        <f>H5</f>
        <v>9.8172194332261036</v>
      </c>
      <c r="F44" s="15">
        <f t="shared" ref="F44:F50" si="0">C44*D44</f>
        <v>241569.99999999997</v>
      </c>
      <c r="G44" s="149" t="s">
        <v>51</v>
      </c>
      <c r="H44" s="155"/>
      <c r="I44" s="18"/>
      <c r="J44" s="19"/>
      <c r="K44" s="12" t="s">
        <v>774</v>
      </c>
      <c r="M44" s="11" t="s">
        <v>781</v>
      </c>
    </row>
    <row r="45" spans="1:25" x14ac:dyDescent="0.25">
      <c r="A45" s="166" t="s">
        <v>53</v>
      </c>
      <c r="B45" s="14">
        <v>1</v>
      </c>
      <c r="C45" s="15">
        <f>E21</f>
        <v>30133.333333333332</v>
      </c>
      <c r="D45" s="16">
        <v>5.5</v>
      </c>
      <c r="E45" s="17">
        <f>H21</f>
        <v>6.9716598480481116</v>
      </c>
      <c r="F45" s="15">
        <f t="shared" si="0"/>
        <v>165733.33333333331</v>
      </c>
      <c r="G45" s="156">
        <f>AVERAGE(F45:F47)</f>
        <v>174173.33333333334</v>
      </c>
      <c r="H45" s="167">
        <f>STDEV(F45:F47)</f>
        <v>11465.294491541759</v>
      </c>
      <c r="J45" s="12"/>
      <c r="K45" s="12">
        <f>LOG(F45)</f>
        <v>5.2194098652499443</v>
      </c>
      <c r="M45" s="11">
        <f>STDEV(K45:K50)</f>
        <v>2.0802881312550408E-2</v>
      </c>
    </row>
    <row r="46" spans="1:25" x14ac:dyDescent="0.25">
      <c r="A46" s="148"/>
      <c r="B46" s="14">
        <v>2</v>
      </c>
      <c r="C46" s="15">
        <f>E29</f>
        <v>27533.333333333332</v>
      </c>
      <c r="D46" s="16">
        <v>6.8</v>
      </c>
      <c r="E46" s="17">
        <f>H29</f>
        <v>11.629840153533005</v>
      </c>
      <c r="F46" s="15">
        <f t="shared" si="0"/>
        <v>187226.66666666666</v>
      </c>
      <c r="G46" s="157"/>
      <c r="H46" s="168"/>
      <c r="I46" s="21">
        <f>G45/F44</f>
        <v>0.72100564363676523</v>
      </c>
      <c r="J46" s="22" t="s">
        <v>52</v>
      </c>
      <c r="K46" s="12">
        <f t="shared" ref="K46:K50" si="1">LOG(F46)</f>
        <v>5.272367705306956</v>
      </c>
    </row>
    <row r="47" spans="1:25" x14ac:dyDescent="0.25">
      <c r="A47" s="148"/>
      <c r="B47" s="14">
        <v>3</v>
      </c>
      <c r="C47" s="15">
        <f>E37</f>
        <v>31400</v>
      </c>
      <c r="D47" s="16">
        <v>5.4</v>
      </c>
      <c r="E47" s="17">
        <f>H37</f>
        <v>12.301406315813992</v>
      </c>
      <c r="F47" s="15">
        <f t="shared" si="0"/>
        <v>169560</v>
      </c>
      <c r="G47" s="158"/>
      <c r="H47" s="169"/>
      <c r="I47" s="18"/>
      <c r="J47" s="20"/>
      <c r="K47" s="12">
        <f t="shared" si="1"/>
        <v>5.2293234078961834</v>
      </c>
    </row>
    <row r="48" spans="1:25" x14ac:dyDescent="0.25">
      <c r="A48" s="166" t="s">
        <v>54</v>
      </c>
      <c r="B48" s="14">
        <v>1</v>
      </c>
      <c r="C48" s="15">
        <f>E25</f>
        <v>33533.333333333336</v>
      </c>
      <c r="D48" s="16">
        <v>5.5</v>
      </c>
      <c r="E48" s="17">
        <f>H25</f>
        <v>9.8424602739455782</v>
      </c>
      <c r="F48" s="15">
        <f t="shared" si="0"/>
        <v>184433.33333333334</v>
      </c>
      <c r="G48" s="156">
        <f>AVERAGE(F48:F50)</f>
        <v>181051.11111111112</v>
      </c>
      <c r="H48" s="167">
        <f>STDEV(F48:F50)</f>
        <v>3299.9955106591146</v>
      </c>
      <c r="J48" s="12"/>
      <c r="K48" s="12">
        <f t="shared" si="1"/>
        <v>5.2658394154944901</v>
      </c>
    </row>
    <row r="49" spans="1:17" x14ac:dyDescent="0.25">
      <c r="A49" s="148"/>
      <c r="B49" s="14">
        <v>2</v>
      </c>
      <c r="C49" s="15">
        <f>E33</f>
        <v>26600</v>
      </c>
      <c r="D49" s="16">
        <v>6.8</v>
      </c>
      <c r="E49" s="17">
        <f>H33</f>
        <v>3.9068815208320542</v>
      </c>
      <c r="F49" s="15">
        <f t="shared" si="0"/>
        <v>180880</v>
      </c>
      <c r="G49" s="157"/>
      <c r="H49" s="168"/>
      <c r="I49" s="21">
        <f>G48/F44</f>
        <v>0.74947680221513913</v>
      </c>
      <c r="J49" s="22" t="s">
        <v>52</v>
      </c>
      <c r="K49" s="12">
        <f t="shared" si="1"/>
        <v>5.2573905493373037</v>
      </c>
    </row>
    <row r="50" spans="1:17" x14ac:dyDescent="0.25">
      <c r="A50" s="148"/>
      <c r="B50" s="14">
        <v>3</v>
      </c>
      <c r="C50" s="15">
        <f>E41</f>
        <v>32933.333333333336</v>
      </c>
      <c r="D50" s="16">
        <v>5.4</v>
      </c>
      <c r="E50" s="17">
        <f>H41</f>
        <v>0.92764690181292297</v>
      </c>
      <c r="F50" s="15">
        <f t="shared" si="0"/>
        <v>177840.00000000003</v>
      </c>
      <c r="G50" s="158"/>
      <c r="H50" s="169"/>
      <c r="I50" s="18"/>
      <c r="J50" s="19"/>
      <c r="K50" s="12">
        <f t="shared" si="1"/>
        <v>5.2500294496909339</v>
      </c>
    </row>
    <row r="52" spans="1:17" x14ac:dyDescent="0.25">
      <c r="A52" s="25" t="s">
        <v>744</v>
      </c>
    </row>
    <row r="53" spans="1:17" x14ac:dyDescent="0.25">
      <c r="A53" s="25" t="s">
        <v>55</v>
      </c>
      <c r="J53" s="11" t="s">
        <v>780</v>
      </c>
    </row>
    <row r="54" spans="1:17" x14ac:dyDescent="0.25">
      <c r="A54" t="s">
        <v>743</v>
      </c>
      <c r="P54" s="11" t="s">
        <v>797</v>
      </c>
    </row>
    <row r="55" spans="1:17" x14ac:dyDescent="0.25">
      <c r="A55" t="s">
        <v>764</v>
      </c>
      <c r="C55" s="11" t="s">
        <v>759</v>
      </c>
      <c r="E55" s="23" t="s">
        <v>760</v>
      </c>
      <c r="P55" s="106" t="s">
        <v>798</v>
      </c>
      <c r="Q55" s="11" t="s">
        <v>472</v>
      </c>
    </row>
    <row r="56" spans="1:17" ht="38.25" x14ac:dyDescent="0.25">
      <c r="A56" s="5" t="s">
        <v>42</v>
      </c>
      <c r="B56" s="6" t="s">
        <v>43</v>
      </c>
      <c r="C56" s="7" t="s">
        <v>44</v>
      </c>
      <c r="D56" s="7" t="s">
        <v>45</v>
      </c>
      <c r="E56" s="8" t="s">
        <v>46</v>
      </c>
      <c r="F56" s="9" t="s">
        <v>47</v>
      </c>
      <c r="G56" s="10" t="s">
        <v>48</v>
      </c>
      <c r="H56" s="10" t="s">
        <v>49</v>
      </c>
      <c r="K56" s="12" t="s">
        <v>774</v>
      </c>
      <c r="L56" s="11"/>
      <c r="M56" s="11" t="s">
        <v>773</v>
      </c>
      <c r="N56" s="12" t="s">
        <v>472</v>
      </c>
      <c r="P56" s="12">
        <f>AVERAGE(K45:K50)</f>
        <v>5.2490600654959687</v>
      </c>
      <c r="Q56" s="12">
        <f>SQRT(VAR(K45:K50)/6)</f>
        <v>8.492740732571346E-3</v>
      </c>
    </row>
    <row r="57" spans="1:17" x14ac:dyDescent="0.25">
      <c r="A57" s="13" t="s">
        <v>746</v>
      </c>
      <c r="B57" s="14">
        <v>1</v>
      </c>
      <c r="C57" s="15"/>
      <c r="D57" s="16"/>
      <c r="E57" s="17"/>
      <c r="F57" s="15">
        <f>F44</f>
        <v>241569.99999999997</v>
      </c>
      <c r="G57" s="149" t="s">
        <v>51</v>
      </c>
      <c r="H57" s="150"/>
      <c r="K57" s="12">
        <f>LOG(F57)</f>
        <v>5.3830429993057436</v>
      </c>
      <c r="L57" s="11"/>
      <c r="M57" s="12">
        <f>(LOG(GEOMEAN(F45:F50)))-(LOG(GEOMEAN(F61:F65)))</f>
        <v>5.2490600654959687</v>
      </c>
      <c r="N57" s="90">
        <f>SQRT(VAR(K45:K50)/6+(VAR(K61:K65)/5))</f>
        <v>8.492740732571346E-3</v>
      </c>
      <c r="P57" s="12"/>
      <c r="Q57" s="12"/>
    </row>
    <row r="58" spans="1:17" x14ac:dyDescent="0.25">
      <c r="A58" s="148" t="s">
        <v>748</v>
      </c>
      <c r="B58" s="14">
        <v>1</v>
      </c>
      <c r="C58" s="15"/>
      <c r="D58" s="16"/>
      <c r="E58" s="17"/>
      <c r="F58" s="15"/>
      <c r="G58" s="151">
        <f>AVERAGE(F45:F50)</f>
        <v>177612.22222222225</v>
      </c>
      <c r="H58" s="170">
        <f>STDEV(F45:F50)/AVERAGE(F45:F50)</f>
        <v>4.7484126151988645E-2</v>
      </c>
      <c r="L58" s="11"/>
      <c r="N58" s="12"/>
    </row>
    <row r="59" spans="1:17" x14ac:dyDescent="0.25">
      <c r="A59" s="148"/>
      <c r="B59" s="14">
        <v>2</v>
      </c>
      <c r="C59" s="15"/>
      <c r="D59" s="16"/>
      <c r="E59" s="17"/>
      <c r="F59" s="15"/>
      <c r="G59" s="152"/>
      <c r="H59" s="171"/>
      <c r="L59" s="11"/>
      <c r="N59" s="12"/>
    </row>
    <row r="60" spans="1:17" x14ac:dyDescent="0.25">
      <c r="A60" s="148"/>
      <c r="B60" s="14">
        <v>3</v>
      </c>
      <c r="C60" s="15"/>
      <c r="D60" s="16"/>
      <c r="E60" s="17"/>
      <c r="F60" s="15"/>
      <c r="G60" s="152"/>
      <c r="H60" s="171"/>
      <c r="L60" s="11"/>
      <c r="N60" s="12"/>
    </row>
    <row r="61" spans="1:17" x14ac:dyDescent="0.25">
      <c r="A61" s="148" t="s">
        <v>749</v>
      </c>
      <c r="B61" s="14">
        <v>1</v>
      </c>
      <c r="C61" s="65"/>
      <c r="D61" s="17"/>
      <c r="E61" s="15"/>
      <c r="F61" s="91">
        <v>1</v>
      </c>
      <c r="G61" s="145">
        <v>0</v>
      </c>
      <c r="H61" s="147">
        <f>STDEV(F61:F65)/AVERAGE(F61:F65)</f>
        <v>0</v>
      </c>
      <c r="K61" s="12">
        <f>LOG(F61)</f>
        <v>0</v>
      </c>
      <c r="L61" s="11"/>
      <c r="N61" s="12"/>
    </row>
    <row r="62" spans="1:17" x14ac:dyDescent="0.25">
      <c r="A62" s="148"/>
      <c r="B62" s="14">
        <v>2</v>
      </c>
      <c r="C62" s="65"/>
      <c r="D62" s="17"/>
      <c r="E62" s="15"/>
      <c r="F62" s="91">
        <v>1</v>
      </c>
      <c r="G62" s="146"/>
      <c r="H62" s="146"/>
      <c r="K62" s="12">
        <f>LOG(F62)</f>
        <v>0</v>
      </c>
      <c r="L62" s="11"/>
      <c r="N62" s="12"/>
    </row>
    <row r="63" spans="1:17" x14ac:dyDescent="0.25">
      <c r="A63" s="148"/>
      <c r="B63" s="14">
        <v>3</v>
      </c>
      <c r="C63" s="65"/>
      <c r="D63" s="17"/>
      <c r="E63" s="15"/>
      <c r="F63" s="91">
        <v>1</v>
      </c>
      <c r="G63" s="146"/>
      <c r="H63" s="146"/>
      <c r="K63" s="12">
        <f>LOG(F63)</f>
        <v>0</v>
      </c>
      <c r="L63" s="11"/>
      <c r="N63" s="12"/>
    </row>
    <row r="64" spans="1:17" x14ac:dyDescent="0.25">
      <c r="A64" s="148"/>
      <c r="B64" s="14">
        <v>4</v>
      </c>
      <c r="C64" s="65"/>
      <c r="D64" s="17"/>
      <c r="E64" s="15"/>
      <c r="F64" s="91">
        <v>1</v>
      </c>
      <c r="G64" s="146"/>
      <c r="H64" s="146"/>
      <c r="K64" s="12">
        <f>LOG(F64)</f>
        <v>0</v>
      </c>
      <c r="L64" s="11"/>
      <c r="N64" s="12"/>
    </row>
    <row r="65" spans="1:14" x14ac:dyDescent="0.25">
      <c r="A65" s="148"/>
      <c r="B65" s="14">
        <v>5</v>
      </c>
      <c r="C65" s="65"/>
      <c r="D65" s="17"/>
      <c r="E65" s="15"/>
      <c r="F65" s="91">
        <v>1</v>
      </c>
      <c r="G65" s="123"/>
      <c r="H65" s="123"/>
      <c r="K65" s="12">
        <f>LOG(F65)</f>
        <v>0</v>
      </c>
      <c r="L65" s="11"/>
      <c r="N65" s="12"/>
    </row>
    <row r="67" spans="1:14" x14ac:dyDescent="0.25">
      <c r="F67" s="92" t="s">
        <v>775</v>
      </c>
      <c r="G67" s="23"/>
      <c r="H67" s="11"/>
      <c r="J67" s="24"/>
      <c r="K67" s="24" t="s">
        <v>779</v>
      </c>
      <c r="L67" s="11"/>
    </row>
    <row r="68" spans="1:14" x14ac:dyDescent="0.25">
      <c r="F68" s="23" t="s">
        <v>776</v>
      </c>
      <c r="G68" s="12"/>
      <c r="H68" s="11"/>
      <c r="J68" s="24"/>
      <c r="L68" s="11"/>
    </row>
    <row r="69" spans="1:14" x14ac:dyDescent="0.25">
      <c r="F69" s="23" t="s">
        <v>777</v>
      </c>
      <c r="G69" s="23"/>
      <c r="H69" s="11"/>
      <c r="J69" s="24"/>
      <c r="L69" s="11"/>
    </row>
    <row r="71" spans="1:14" x14ac:dyDescent="0.25">
      <c r="B71" s="11" t="s">
        <v>808</v>
      </c>
      <c r="C71" s="11" t="s">
        <v>810</v>
      </c>
      <c r="D71" s="12" t="s">
        <v>809</v>
      </c>
    </row>
    <row r="72" spans="1:14" x14ac:dyDescent="0.25">
      <c r="A72" t="s">
        <v>799</v>
      </c>
      <c r="C72" s="12">
        <f>AVERAGE(K45:K50)</f>
        <v>5.2490600654959687</v>
      </c>
      <c r="D72" s="12">
        <f>STDEV(K45:K50)</f>
        <v>2.0802881312550408E-2</v>
      </c>
    </row>
    <row r="75" spans="1:14" x14ac:dyDescent="0.25">
      <c r="A75" t="s">
        <v>807</v>
      </c>
      <c r="B75" s="11">
        <f>LOG(F61)</f>
        <v>0</v>
      </c>
      <c r="C75" s="11">
        <f>AVERAGE(B75:B79)</f>
        <v>0</v>
      </c>
      <c r="D75" s="12">
        <f>STDEV(B75:B79)</f>
        <v>0</v>
      </c>
    </row>
    <row r="76" spans="1:14" x14ac:dyDescent="0.25">
      <c r="B76" s="11">
        <f>LOG(F62)</f>
        <v>0</v>
      </c>
    </row>
    <row r="77" spans="1:14" x14ac:dyDescent="0.25">
      <c r="B77" s="11">
        <f>LOG(F63)</f>
        <v>0</v>
      </c>
    </row>
    <row r="78" spans="1:14" x14ac:dyDescent="0.25">
      <c r="B78" s="11">
        <f>LOG(F64)</f>
        <v>0</v>
      </c>
    </row>
    <row r="79" spans="1:14" x14ac:dyDescent="0.25">
      <c r="B79" s="11">
        <f t="shared" ref="B79" si="2">LOG(F65)</f>
        <v>0</v>
      </c>
    </row>
  </sheetData>
  <mergeCells count="14">
    <mergeCell ref="G44:H44"/>
    <mergeCell ref="A45:A47"/>
    <mergeCell ref="G45:G47"/>
    <mergeCell ref="H45:H47"/>
    <mergeCell ref="A61:A65"/>
    <mergeCell ref="G61:G65"/>
    <mergeCell ref="H61:H65"/>
    <mergeCell ref="A48:A50"/>
    <mergeCell ref="G48:G50"/>
    <mergeCell ref="H48:H50"/>
    <mergeCell ref="G57:H57"/>
    <mergeCell ref="A58:A60"/>
    <mergeCell ref="G58:G60"/>
    <mergeCell ref="H58:H6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opLeftCell="A37" workbookViewId="0">
      <selection activeCell="B62" sqref="B62:B66"/>
    </sheetView>
  </sheetViews>
  <sheetFormatPr defaultRowHeight="15" x14ac:dyDescent="0.25"/>
  <cols>
    <col min="1" max="2" width="15.7109375" customWidth="1"/>
    <col min="4" max="5" width="9.140625" style="38"/>
    <col min="6" max="6" width="8.5703125" bestFit="1" customWidth="1"/>
    <col min="8" max="8" width="8.7109375" customWidth="1"/>
    <col min="9" max="9" width="9.7109375" customWidth="1"/>
    <col min="11" max="11" width="10" bestFit="1" customWidth="1"/>
    <col min="12" max="12" width="10" customWidth="1"/>
    <col min="13" max="13" width="12.140625" bestFit="1" customWidth="1"/>
    <col min="14" max="14" width="12.5703125" bestFit="1" customWidth="1"/>
    <col min="17" max="17" width="10.5703125" customWidth="1"/>
  </cols>
  <sheetData>
    <row r="1" spans="1:17" ht="18.75" x14ac:dyDescent="0.3">
      <c r="A1" s="35" t="s">
        <v>273</v>
      </c>
      <c r="B1" s="35"/>
      <c r="D1" t="s">
        <v>274</v>
      </c>
      <c r="E1"/>
    </row>
    <row r="2" spans="1:17" ht="17.25" x14ac:dyDescent="0.25">
      <c r="A2" t="s">
        <v>756</v>
      </c>
      <c r="D2"/>
      <c r="E2" s="36" t="s">
        <v>275</v>
      </c>
      <c r="F2">
        <v>0.1</v>
      </c>
      <c r="H2" s="36" t="s">
        <v>276</v>
      </c>
      <c r="I2">
        <f>10^-4</f>
        <v>1E-4</v>
      </c>
      <c r="O2" s="37"/>
      <c r="P2" s="143"/>
      <c r="Q2" s="143"/>
    </row>
    <row r="3" spans="1:17" ht="17.25" x14ac:dyDescent="0.25">
      <c r="A3" t="s">
        <v>754</v>
      </c>
      <c r="D3"/>
      <c r="E3" s="36" t="s">
        <v>277</v>
      </c>
      <c r="F3">
        <f>10^-2</f>
        <v>0.01</v>
      </c>
      <c r="H3" s="36" t="s">
        <v>278</v>
      </c>
      <c r="I3">
        <f>10^-5</f>
        <v>1.0000000000000001E-5</v>
      </c>
      <c r="K3" s="36"/>
      <c r="L3" s="36"/>
      <c r="N3" s="36"/>
      <c r="P3" s="143"/>
      <c r="Q3" s="143"/>
    </row>
    <row r="4" spans="1:17" ht="17.25" x14ac:dyDescent="0.25">
      <c r="A4" t="s">
        <v>755</v>
      </c>
      <c r="D4"/>
      <c r="E4" s="36" t="s">
        <v>279</v>
      </c>
      <c r="F4">
        <f>10^-3</f>
        <v>1E-3</v>
      </c>
      <c r="H4" s="36" t="s">
        <v>280</v>
      </c>
      <c r="I4">
        <f>10^-6</f>
        <v>9.9999999999999995E-7</v>
      </c>
      <c r="K4" s="36"/>
      <c r="L4" s="36"/>
      <c r="N4" s="36"/>
    </row>
    <row r="5" spans="1:17" x14ac:dyDescent="0.25">
      <c r="M5" s="36"/>
      <c r="P5" s="36"/>
    </row>
    <row r="6" spans="1:17" ht="15" customHeight="1" x14ac:dyDescent="0.25">
      <c r="A6" s="172" t="s">
        <v>281</v>
      </c>
      <c r="B6" s="173" t="s">
        <v>282</v>
      </c>
      <c r="C6" s="172" t="s">
        <v>283</v>
      </c>
      <c r="D6" s="175" t="s">
        <v>284</v>
      </c>
      <c r="E6" s="175" t="s">
        <v>49</v>
      </c>
      <c r="F6" s="177" t="s">
        <v>58</v>
      </c>
      <c r="G6" s="148" t="s">
        <v>204</v>
      </c>
      <c r="H6" s="179" t="s">
        <v>45</v>
      </c>
      <c r="I6" s="179" t="s">
        <v>285</v>
      </c>
      <c r="J6" s="148" t="s">
        <v>286</v>
      </c>
      <c r="K6" s="148" t="s">
        <v>287</v>
      </c>
      <c r="L6" s="39" t="s">
        <v>288</v>
      </c>
      <c r="M6" s="176" t="s">
        <v>289</v>
      </c>
    </row>
    <row r="7" spans="1:17" x14ac:dyDescent="0.25">
      <c r="A7" s="173"/>
      <c r="B7" s="174"/>
      <c r="C7" s="173"/>
      <c r="D7" s="176"/>
      <c r="E7" s="176"/>
      <c r="F7" s="178"/>
      <c r="G7" s="176"/>
      <c r="H7" s="180"/>
      <c r="I7" s="180"/>
      <c r="J7" s="176"/>
      <c r="K7" s="176"/>
      <c r="L7" s="40" t="s">
        <v>290</v>
      </c>
      <c r="M7" s="123"/>
    </row>
    <row r="8" spans="1:17" x14ac:dyDescent="0.25">
      <c r="A8" s="148" t="s">
        <v>291</v>
      </c>
      <c r="B8" s="26"/>
      <c r="C8" s="41" t="s">
        <v>292</v>
      </c>
      <c r="D8" s="42">
        <v>78</v>
      </c>
      <c r="E8" s="181">
        <f>STDEV(D8:D10)/AVERAGE(D8:D10)</f>
        <v>5.9513970064361557E-2</v>
      </c>
      <c r="F8" s="172">
        <v>1E-3</v>
      </c>
      <c r="G8" s="182">
        <f>AVERAGE(D8:D10)</f>
        <v>77</v>
      </c>
      <c r="H8" s="172">
        <v>1</v>
      </c>
      <c r="I8" s="172">
        <v>0.1</v>
      </c>
      <c r="J8" s="172">
        <f>1/F8</f>
        <v>1000</v>
      </c>
      <c r="K8" s="152">
        <f>(G8/I8)*J8*H8</f>
        <v>770000</v>
      </c>
      <c r="L8" s="43"/>
      <c r="M8" s="44"/>
    </row>
    <row r="9" spans="1:17" x14ac:dyDescent="0.25">
      <c r="A9" s="148"/>
      <c r="B9" s="26"/>
      <c r="C9" s="41" t="s">
        <v>293</v>
      </c>
      <c r="D9" s="42">
        <v>81</v>
      </c>
      <c r="E9" s="172"/>
      <c r="F9" s="172"/>
      <c r="G9" s="182"/>
      <c r="H9" s="172"/>
      <c r="I9" s="172"/>
      <c r="J9" s="172"/>
      <c r="K9" s="152"/>
      <c r="L9" s="45"/>
      <c r="M9" s="46"/>
      <c r="N9" s="47"/>
      <c r="O9" s="27"/>
    </row>
    <row r="10" spans="1:17" x14ac:dyDescent="0.25">
      <c r="A10" s="148"/>
      <c r="B10" s="26"/>
      <c r="C10" s="41" t="s">
        <v>294</v>
      </c>
      <c r="D10" s="42">
        <v>72</v>
      </c>
      <c r="E10" s="172"/>
      <c r="F10" s="172"/>
      <c r="G10" s="182"/>
      <c r="H10" s="172"/>
      <c r="I10" s="172"/>
      <c r="J10" s="172"/>
      <c r="K10" s="152"/>
      <c r="L10" s="48"/>
      <c r="M10" s="49"/>
    </row>
    <row r="11" spans="1:17" x14ac:dyDescent="0.25">
      <c r="A11" s="148" t="s">
        <v>295</v>
      </c>
      <c r="B11" s="26" t="s">
        <v>296</v>
      </c>
      <c r="C11" s="41" t="s">
        <v>292</v>
      </c>
      <c r="D11" s="50">
        <v>41</v>
      </c>
      <c r="E11" s="181">
        <f>STDEV(D11:D13)/AVERAGE(D11:D13)</f>
        <v>8.0123361676977534E-2</v>
      </c>
      <c r="F11" s="172">
        <v>0.01</v>
      </c>
      <c r="G11" s="182">
        <f>AVERAGE(D11:D13)</f>
        <v>45</v>
      </c>
      <c r="H11" s="172">
        <v>5.9</v>
      </c>
      <c r="I11" s="172">
        <v>0.1</v>
      </c>
      <c r="J11" s="172">
        <f>1/F11</f>
        <v>100</v>
      </c>
      <c r="K11" s="152">
        <f>(G11/I11)*J11*H11</f>
        <v>265500</v>
      </c>
      <c r="L11" s="43"/>
      <c r="M11" s="51">
        <f>K11/K8</f>
        <v>0.34480519480519478</v>
      </c>
    </row>
    <row r="12" spans="1:17" x14ac:dyDescent="0.25">
      <c r="A12" s="148"/>
      <c r="B12" s="26" t="s">
        <v>297</v>
      </c>
      <c r="C12" s="41" t="s">
        <v>293</v>
      </c>
      <c r="D12" s="50">
        <v>48</v>
      </c>
      <c r="E12" s="172"/>
      <c r="F12" s="172"/>
      <c r="G12" s="182"/>
      <c r="H12" s="172"/>
      <c r="I12" s="172"/>
      <c r="J12" s="172"/>
      <c r="K12" s="152"/>
      <c r="L12" s="45"/>
      <c r="M12" s="46"/>
      <c r="N12" s="52"/>
    </row>
    <row r="13" spans="1:17" x14ac:dyDescent="0.25">
      <c r="A13" s="148"/>
      <c r="B13" s="26" t="s">
        <v>298</v>
      </c>
      <c r="C13" s="41" t="s">
        <v>294</v>
      </c>
      <c r="D13" s="50">
        <v>46</v>
      </c>
      <c r="E13" s="172"/>
      <c r="F13" s="172"/>
      <c r="G13" s="182"/>
      <c r="H13" s="172"/>
      <c r="I13" s="172"/>
      <c r="J13" s="172"/>
      <c r="K13" s="152"/>
      <c r="L13" s="45"/>
      <c r="M13" s="46"/>
    </row>
    <row r="14" spans="1:17" x14ac:dyDescent="0.25">
      <c r="A14" s="148" t="s">
        <v>299</v>
      </c>
      <c r="B14" s="26" t="s">
        <v>300</v>
      </c>
      <c r="C14" s="41" t="s">
        <v>292</v>
      </c>
      <c r="D14" s="50">
        <v>70</v>
      </c>
      <c r="E14" s="181">
        <f>STDEV(D14:D16)/AVERAGE(D14:D16)</f>
        <v>8.5729546589863412E-2</v>
      </c>
      <c r="F14" s="172">
        <v>0.1</v>
      </c>
      <c r="G14" s="182">
        <f>AVERAGE(D14:D16)</f>
        <v>77.666666666666671</v>
      </c>
      <c r="H14" s="172">
        <v>4</v>
      </c>
      <c r="I14" s="172">
        <v>0.1</v>
      </c>
      <c r="J14" s="172">
        <f>1/F14</f>
        <v>10</v>
      </c>
      <c r="K14" s="183">
        <f>(G14/I14)*J14*H14</f>
        <v>31066.666666666664</v>
      </c>
      <c r="L14" s="53">
        <f>STDEV(K14:K22)</f>
        <v>13004.400964459846</v>
      </c>
      <c r="M14" s="54">
        <f>(AVERAGE(K14:K22))</f>
        <v>42033.333333333336</v>
      </c>
      <c r="N14">
        <f>(M14/K8)*100</f>
        <v>5.4588744588744591</v>
      </c>
      <c r="O14" t="s">
        <v>301</v>
      </c>
    </row>
    <row r="15" spans="1:17" x14ac:dyDescent="0.25">
      <c r="A15" s="148"/>
      <c r="B15" s="26" t="s">
        <v>302</v>
      </c>
      <c r="C15" s="41" t="s">
        <v>293</v>
      </c>
      <c r="D15" s="50">
        <v>81</v>
      </c>
      <c r="E15" s="172"/>
      <c r="F15" s="172"/>
      <c r="G15" s="182"/>
      <c r="H15" s="172"/>
      <c r="I15" s="172"/>
      <c r="J15" s="172"/>
      <c r="K15" s="183"/>
      <c r="L15" s="55"/>
      <c r="M15" s="46"/>
      <c r="N15">
        <f>STDEV(K14:K22)</f>
        <v>13004.400964459846</v>
      </c>
      <c r="O15" t="s">
        <v>303</v>
      </c>
    </row>
    <row r="16" spans="1:17" x14ac:dyDescent="0.25">
      <c r="A16" s="148"/>
      <c r="B16" s="26" t="s">
        <v>304</v>
      </c>
      <c r="C16" s="41" t="s">
        <v>294</v>
      </c>
      <c r="D16" s="50">
        <v>82</v>
      </c>
      <c r="E16" s="172"/>
      <c r="F16" s="172"/>
      <c r="G16" s="182"/>
      <c r="H16" s="172"/>
      <c r="I16" s="172"/>
      <c r="J16" s="172"/>
      <c r="K16" s="183"/>
      <c r="L16" s="55"/>
      <c r="M16" s="46"/>
    </row>
    <row r="17" spans="1:14" x14ac:dyDescent="0.25">
      <c r="A17" s="148" t="s">
        <v>305</v>
      </c>
      <c r="B17" s="26" t="s">
        <v>300</v>
      </c>
      <c r="C17" s="41" t="s">
        <v>292</v>
      </c>
      <c r="D17" s="50">
        <v>117</v>
      </c>
      <c r="E17" s="181">
        <f>STDEV(D17:D19)/AVERAGE(D17:D19)</f>
        <v>6.7858249054112099E-2</v>
      </c>
      <c r="F17" s="172">
        <v>0.1</v>
      </c>
      <c r="G17" s="182">
        <f>AVERAGE(D17:D19)</f>
        <v>125.33333333333333</v>
      </c>
      <c r="H17" s="172">
        <v>4.5</v>
      </c>
      <c r="I17" s="172">
        <v>0.1</v>
      </c>
      <c r="J17" s="172">
        <f>1/F17</f>
        <v>10</v>
      </c>
      <c r="K17" s="183">
        <f>(G17/I17)*J17*H17</f>
        <v>56399.999999999993</v>
      </c>
      <c r="L17" s="55"/>
      <c r="M17" s="46"/>
    </row>
    <row r="18" spans="1:14" x14ac:dyDescent="0.25">
      <c r="A18" s="148"/>
      <c r="B18" s="26" t="s">
        <v>306</v>
      </c>
      <c r="C18" s="41" t="s">
        <v>293</v>
      </c>
      <c r="D18" s="50">
        <v>134</v>
      </c>
      <c r="E18" s="172"/>
      <c r="F18" s="172"/>
      <c r="G18" s="182"/>
      <c r="H18" s="172"/>
      <c r="I18" s="172"/>
      <c r="J18" s="172"/>
      <c r="K18" s="183"/>
      <c r="L18" s="55"/>
      <c r="M18" s="46"/>
    </row>
    <row r="19" spans="1:14" x14ac:dyDescent="0.25">
      <c r="A19" s="148"/>
      <c r="B19" s="26" t="s">
        <v>307</v>
      </c>
      <c r="C19" s="41" t="s">
        <v>294</v>
      </c>
      <c r="D19" s="50">
        <v>125</v>
      </c>
      <c r="E19" s="172"/>
      <c r="F19" s="172"/>
      <c r="G19" s="182"/>
      <c r="H19" s="172"/>
      <c r="I19" s="172"/>
      <c r="J19" s="172"/>
      <c r="K19" s="183"/>
      <c r="L19" s="55"/>
      <c r="M19" s="46"/>
    </row>
    <row r="20" spans="1:14" x14ac:dyDescent="0.25">
      <c r="A20" s="148" t="s">
        <v>308</v>
      </c>
      <c r="B20" s="26" t="s">
        <v>309</v>
      </c>
      <c r="C20" s="41" t="s">
        <v>292</v>
      </c>
      <c r="D20" s="50">
        <v>66</v>
      </c>
      <c r="E20" s="181">
        <f>STDEV(D20:D22)/AVERAGE(D20:D22)</f>
        <v>7.292845505553168E-2</v>
      </c>
      <c r="F20" s="172">
        <v>0.1</v>
      </c>
      <c r="G20" s="182">
        <f>AVERAGE(D20:D22)</f>
        <v>63.333333333333336</v>
      </c>
      <c r="H20" s="172">
        <v>6.1</v>
      </c>
      <c r="I20" s="172">
        <v>0.1</v>
      </c>
      <c r="J20" s="172">
        <f>1/F20</f>
        <v>10</v>
      </c>
      <c r="K20" s="183">
        <f>(G20/I20)*J20*H20</f>
        <v>38633.333333333336</v>
      </c>
      <c r="L20" s="55"/>
      <c r="M20" s="46"/>
    </row>
    <row r="21" spans="1:14" x14ac:dyDescent="0.25">
      <c r="A21" s="148"/>
      <c r="B21" s="26" t="s">
        <v>310</v>
      </c>
      <c r="C21" s="41" t="s">
        <v>293</v>
      </c>
      <c r="D21" s="50">
        <v>58</v>
      </c>
      <c r="E21" s="172"/>
      <c r="F21" s="172"/>
      <c r="G21" s="182"/>
      <c r="H21" s="172"/>
      <c r="I21" s="172"/>
      <c r="J21" s="172"/>
      <c r="K21" s="183"/>
      <c r="L21" s="55"/>
      <c r="M21" s="46"/>
    </row>
    <row r="22" spans="1:14" x14ac:dyDescent="0.25">
      <c r="A22" s="148"/>
      <c r="B22" s="26" t="s">
        <v>311</v>
      </c>
      <c r="C22" s="41" t="s">
        <v>294</v>
      </c>
      <c r="D22" s="50">
        <v>66</v>
      </c>
      <c r="E22" s="172"/>
      <c r="F22" s="172"/>
      <c r="G22" s="182"/>
      <c r="H22" s="172"/>
      <c r="I22" s="172"/>
      <c r="J22" s="172"/>
      <c r="K22" s="183"/>
      <c r="L22" s="56"/>
      <c r="M22" s="49"/>
    </row>
    <row r="23" spans="1:14" x14ac:dyDescent="0.25">
      <c r="A23" s="148" t="s">
        <v>312</v>
      </c>
      <c r="B23" s="26" t="s">
        <v>313</v>
      </c>
      <c r="C23" s="41" t="s">
        <v>292</v>
      </c>
      <c r="D23" s="50">
        <v>1</v>
      </c>
      <c r="E23" s="181" t="e">
        <f>STDEV(D23:D25)/AVERAGE(D23:D25)</f>
        <v>#DIV/0!</v>
      </c>
      <c r="F23" s="172">
        <v>1</v>
      </c>
      <c r="G23" s="182">
        <f>AVERAGE(D23:D25)</f>
        <v>1</v>
      </c>
      <c r="H23" s="172">
        <v>3.5</v>
      </c>
      <c r="I23" s="172">
        <v>3.5</v>
      </c>
      <c r="J23" s="172">
        <v>1</v>
      </c>
      <c r="K23" s="183">
        <f>(G23/I23)*J23*H23</f>
        <v>1</v>
      </c>
      <c r="L23" s="53">
        <f>STDEV(K23:K37)</f>
        <v>0.44721359549995787</v>
      </c>
      <c r="M23" s="54">
        <f>(AVERAGE(K23:K37))</f>
        <v>0.8</v>
      </c>
      <c r="N23" s="47"/>
    </row>
    <row r="24" spans="1:14" x14ac:dyDescent="0.25">
      <c r="A24" s="148"/>
      <c r="B24" s="26" t="s">
        <v>314</v>
      </c>
      <c r="C24" s="41" t="s">
        <v>293</v>
      </c>
      <c r="D24" s="42"/>
      <c r="E24" s="172"/>
      <c r="F24" s="172"/>
      <c r="G24" s="182"/>
      <c r="H24" s="172"/>
      <c r="I24" s="172"/>
      <c r="J24" s="172"/>
      <c r="K24" s="183"/>
      <c r="L24" s="55"/>
      <c r="M24" s="46"/>
    </row>
    <row r="25" spans="1:14" x14ac:dyDescent="0.25">
      <c r="A25" s="148"/>
      <c r="B25" s="26" t="s">
        <v>315</v>
      </c>
      <c r="C25" s="41" t="s">
        <v>294</v>
      </c>
      <c r="D25" s="42"/>
      <c r="E25" s="172"/>
      <c r="F25" s="172"/>
      <c r="G25" s="182"/>
      <c r="H25" s="172"/>
      <c r="I25" s="172"/>
      <c r="J25" s="172"/>
      <c r="K25" s="183"/>
      <c r="L25" s="55"/>
      <c r="M25" s="46"/>
    </row>
    <row r="26" spans="1:14" x14ac:dyDescent="0.25">
      <c r="A26" s="148" t="s">
        <v>316</v>
      </c>
      <c r="B26" s="26" t="s">
        <v>317</v>
      </c>
      <c r="C26" s="41" t="s">
        <v>292</v>
      </c>
      <c r="D26" s="42">
        <v>0</v>
      </c>
      <c r="E26" s="181" t="e">
        <f>STDEV(D26:D28)/AVERAGE(D26:D28)</f>
        <v>#DIV/0!</v>
      </c>
      <c r="F26" s="172">
        <v>1</v>
      </c>
      <c r="G26" s="182">
        <f>AVERAGE(D26:D28)</f>
        <v>0</v>
      </c>
      <c r="H26" s="172">
        <v>5.2</v>
      </c>
      <c r="I26" s="172">
        <v>5.2</v>
      </c>
      <c r="J26" s="172">
        <f>1/F26</f>
        <v>1</v>
      </c>
      <c r="K26" s="183">
        <f>(G26/I26)*J26*H26</f>
        <v>0</v>
      </c>
      <c r="L26" s="55"/>
      <c r="M26" s="46"/>
    </row>
    <row r="27" spans="1:14" x14ac:dyDescent="0.25">
      <c r="A27" s="148"/>
      <c r="B27" s="26" t="s">
        <v>318</v>
      </c>
      <c r="C27" s="41" t="s">
        <v>293</v>
      </c>
      <c r="D27" s="42"/>
      <c r="E27" s="172"/>
      <c r="F27" s="172"/>
      <c r="G27" s="182"/>
      <c r="H27" s="172"/>
      <c r="I27" s="172"/>
      <c r="J27" s="172"/>
      <c r="K27" s="183"/>
      <c r="L27" s="55"/>
      <c r="M27" s="57"/>
    </row>
    <row r="28" spans="1:14" x14ac:dyDescent="0.25">
      <c r="A28" s="148"/>
      <c r="B28" s="26" t="s">
        <v>319</v>
      </c>
      <c r="C28" s="41" t="s">
        <v>294</v>
      </c>
      <c r="D28" s="42"/>
      <c r="E28" s="172"/>
      <c r="F28" s="172"/>
      <c r="G28" s="182"/>
      <c r="H28" s="172"/>
      <c r="I28" s="172"/>
      <c r="J28" s="172"/>
      <c r="K28" s="183"/>
      <c r="L28" s="55"/>
      <c r="M28" s="57"/>
    </row>
    <row r="29" spans="1:14" x14ac:dyDescent="0.25">
      <c r="A29" s="148" t="s">
        <v>320</v>
      </c>
      <c r="B29" s="26" t="s">
        <v>321</v>
      </c>
      <c r="C29" s="41" t="s">
        <v>292</v>
      </c>
      <c r="D29" s="42">
        <v>1</v>
      </c>
      <c r="E29" s="181" t="e">
        <f>STDEV(D29:D31)/AVERAGE(D29:D31)</f>
        <v>#DIV/0!</v>
      </c>
      <c r="F29" s="172">
        <v>1</v>
      </c>
      <c r="G29" s="182">
        <f>AVERAGE(D29:D31)</f>
        <v>1</v>
      </c>
      <c r="H29" s="172">
        <v>3.7</v>
      </c>
      <c r="I29" s="172">
        <v>3.7</v>
      </c>
      <c r="J29" s="172">
        <f>1/F29</f>
        <v>1</v>
      </c>
      <c r="K29" s="183">
        <f>(G29/I29)*J29*H29</f>
        <v>0.99999999999999989</v>
      </c>
      <c r="L29" s="55"/>
      <c r="M29" s="57"/>
    </row>
    <row r="30" spans="1:14" x14ac:dyDescent="0.25">
      <c r="A30" s="148"/>
      <c r="B30" s="26" t="s">
        <v>322</v>
      </c>
      <c r="C30" s="41" t="s">
        <v>293</v>
      </c>
      <c r="D30" s="42"/>
      <c r="E30" s="172"/>
      <c r="F30" s="172"/>
      <c r="G30" s="182"/>
      <c r="H30" s="172"/>
      <c r="I30" s="172"/>
      <c r="J30" s="172"/>
      <c r="K30" s="183"/>
      <c r="L30" s="55"/>
      <c r="M30" s="57"/>
    </row>
    <row r="31" spans="1:14" x14ac:dyDescent="0.25">
      <c r="A31" s="148"/>
      <c r="B31" s="26" t="s">
        <v>323</v>
      </c>
      <c r="C31" s="41" t="s">
        <v>294</v>
      </c>
      <c r="D31" s="42"/>
      <c r="E31" s="172"/>
      <c r="F31" s="172"/>
      <c r="G31" s="182"/>
      <c r="H31" s="172"/>
      <c r="I31" s="172"/>
      <c r="J31" s="172"/>
      <c r="K31" s="184"/>
      <c r="L31" s="58"/>
      <c r="M31" s="57"/>
    </row>
    <row r="32" spans="1:14" x14ac:dyDescent="0.25">
      <c r="A32" s="148" t="s">
        <v>324</v>
      </c>
      <c r="B32" s="26" t="s">
        <v>325</v>
      </c>
      <c r="C32" s="41" t="s">
        <v>292</v>
      </c>
      <c r="D32" s="42">
        <v>1</v>
      </c>
      <c r="E32" s="181" t="e">
        <f>STDEV(D32:D34)/AVERAGE(D32:D34)</f>
        <v>#DIV/0!</v>
      </c>
      <c r="F32" s="172">
        <v>1</v>
      </c>
      <c r="G32" s="182">
        <f>AVERAGE(D32:D34)</f>
        <v>1</v>
      </c>
      <c r="H32" s="172">
        <v>5.3</v>
      </c>
      <c r="I32" s="172">
        <v>5.3</v>
      </c>
      <c r="J32" s="172">
        <f>1/F32</f>
        <v>1</v>
      </c>
      <c r="K32" s="183">
        <f>(G32/I32)*J32*H32</f>
        <v>1</v>
      </c>
      <c r="L32" s="55"/>
      <c r="M32" s="59"/>
    </row>
    <row r="33" spans="1:17" x14ac:dyDescent="0.25">
      <c r="A33" s="148"/>
      <c r="B33" s="26" t="s">
        <v>326</v>
      </c>
      <c r="C33" s="41" t="s">
        <v>293</v>
      </c>
      <c r="D33" s="42"/>
      <c r="E33" s="172"/>
      <c r="F33" s="172"/>
      <c r="G33" s="182"/>
      <c r="H33" s="172"/>
      <c r="I33" s="172"/>
      <c r="J33" s="172"/>
      <c r="K33" s="183"/>
      <c r="L33" s="55"/>
      <c r="M33" s="57"/>
    </row>
    <row r="34" spans="1:17" x14ac:dyDescent="0.25">
      <c r="A34" s="148"/>
      <c r="B34" s="26" t="s">
        <v>327</v>
      </c>
      <c r="C34" s="41" t="s">
        <v>294</v>
      </c>
      <c r="D34" s="42"/>
      <c r="E34" s="172"/>
      <c r="F34" s="172"/>
      <c r="G34" s="182"/>
      <c r="H34" s="172"/>
      <c r="I34" s="172"/>
      <c r="J34" s="172"/>
      <c r="K34" s="183"/>
      <c r="L34" s="55"/>
      <c r="M34" s="57"/>
    </row>
    <row r="35" spans="1:17" x14ac:dyDescent="0.25">
      <c r="A35" s="148" t="s">
        <v>328</v>
      </c>
      <c r="B35" s="26" t="s">
        <v>329</v>
      </c>
      <c r="C35" s="41" t="s">
        <v>292</v>
      </c>
      <c r="D35" s="42">
        <v>1</v>
      </c>
      <c r="E35" s="181" t="e">
        <f>STDEV(D35:D37)/AVERAGE(D35:D37)</f>
        <v>#DIV/0!</v>
      </c>
      <c r="F35" s="172">
        <v>1</v>
      </c>
      <c r="G35" s="182">
        <f>AVERAGE(D35:D37)</f>
        <v>1</v>
      </c>
      <c r="H35" s="172">
        <v>3</v>
      </c>
      <c r="I35" s="172">
        <v>3</v>
      </c>
      <c r="J35" s="172">
        <f>1/F35</f>
        <v>1</v>
      </c>
      <c r="K35" s="183">
        <f>(G35/I35)*J35*H35</f>
        <v>1</v>
      </c>
      <c r="L35" s="55"/>
      <c r="M35" s="57"/>
    </row>
    <row r="36" spans="1:17" x14ac:dyDescent="0.25">
      <c r="A36" s="148"/>
      <c r="B36" s="26" t="s">
        <v>330</v>
      </c>
      <c r="C36" s="41" t="s">
        <v>293</v>
      </c>
      <c r="D36" s="42"/>
      <c r="E36" s="172"/>
      <c r="F36" s="172"/>
      <c r="G36" s="182"/>
      <c r="H36" s="172"/>
      <c r="I36" s="172"/>
      <c r="J36" s="172"/>
      <c r="K36" s="183"/>
      <c r="L36" s="55"/>
      <c r="M36" s="57"/>
    </row>
    <row r="37" spans="1:17" x14ac:dyDescent="0.25">
      <c r="A37" s="148"/>
      <c r="B37" s="26" t="s">
        <v>331</v>
      </c>
      <c r="C37" s="41" t="s">
        <v>294</v>
      </c>
      <c r="D37" s="42"/>
      <c r="E37" s="172"/>
      <c r="F37" s="172"/>
      <c r="G37" s="182"/>
      <c r="H37" s="172"/>
      <c r="I37" s="172"/>
      <c r="J37" s="172"/>
      <c r="K37" s="183"/>
      <c r="L37" s="56"/>
      <c r="M37" s="60"/>
    </row>
    <row r="38" spans="1:17" x14ac:dyDescent="0.25">
      <c r="A38" s="148" t="s">
        <v>332</v>
      </c>
      <c r="B38" s="26" t="s">
        <v>333</v>
      </c>
      <c r="C38" s="41" t="s">
        <v>292</v>
      </c>
      <c r="D38" s="50">
        <v>0</v>
      </c>
      <c r="E38" s="181" t="e">
        <f>STDEV(D38:D40)/AVERAGE(D38:D40)</f>
        <v>#DIV/0!</v>
      </c>
      <c r="F38" s="172">
        <v>1</v>
      </c>
      <c r="G38" s="182">
        <f>AVERAGE(D38:D40)</f>
        <v>0</v>
      </c>
      <c r="H38" s="172">
        <v>5.3</v>
      </c>
      <c r="I38" s="172">
        <v>5.3</v>
      </c>
      <c r="J38" s="172">
        <f>1/F38</f>
        <v>1</v>
      </c>
      <c r="K38" s="183">
        <f>(G38/I38)*J38*H38</f>
        <v>0</v>
      </c>
      <c r="L38" s="61"/>
    </row>
    <row r="39" spans="1:17" x14ac:dyDescent="0.25">
      <c r="A39" s="148"/>
      <c r="B39" s="26"/>
      <c r="C39" s="41" t="s">
        <v>293</v>
      </c>
      <c r="D39" s="50"/>
      <c r="E39" s="172"/>
      <c r="F39" s="172"/>
      <c r="G39" s="182"/>
      <c r="H39" s="172"/>
      <c r="I39" s="172"/>
      <c r="J39" s="172"/>
      <c r="K39" s="183"/>
      <c r="L39" s="61"/>
    </row>
    <row r="40" spans="1:17" x14ac:dyDescent="0.25">
      <c r="A40" s="148"/>
      <c r="B40" s="26"/>
      <c r="C40" s="41" t="s">
        <v>294</v>
      </c>
      <c r="D40" s="50"/>
      <c r="E40" s="172"/>
      <c r="F40" s="172"/>
      <c r="G40" s="182"/>
      <c r="H40" s="172"/>
      <c r="I40" s="172"/>
      <c r="J40" s="172"/>
      <c r="K40" s="183"/>
      <c r="L40" s="61"/>
    </row>
    <row r="41" spans="1:17" x14ac:dyDescent="0.25">
      <c r="D41"/>
      <c r="E41"/>
    </row>
    <row r="42" spans="1:17" x14ac:dyDescent="0.25">
      <c r="D42"/>
      <c r="E42"/>
      <c r="P42" s="11" t="s">
        <v>797</v>
      </c>
      <c r="Q42" s="11"/>
    </row>
    <row r="43" spans="1:17" x14ac:dyDescent="0.25">
      <c r="A43" t="s">
        <v>758</v>
      </c>
      <c r="B43" s="11"/>
      <c r="C43" s="11" t="s">
        <v>759</v>
      </c>
      <c r="D43" s="12"/>
      <c r="E43" s="23" t="s">
        <v>763</v>
      </c>
      <c r="F43" s="11"/>
      <c r="P43" s="106" t="s">
        <v>798</v>
      </c>
      <c r="Q43" s="11" t="s">
        <v>472</v>
      </c>
    </row>
    <row r="44" spans="1:17" ht="45" x14ac:dyDescent="0.25">
      <c r="A44" s="5" t="s">
        <v>42</v>
      </c>
      <c r="B44" s="6" t="s">
        <v>43</v>
      </c>
      <c r="C44" s="7" t="s">
        <v>44</v>
      </c>
      <c r="D44" s="7" t="s">
        <v>45</v>
      </c>
      <c r="E44" s="8" t="s">
        <v>46</v>
      </c>
      <c r="F44" s="9" t="s">
        <v>47</v>
      </c>
      <c r="G44" s="10" t="s">
        <v>48</v>
      </c>
      <c r="H44" s="10" t="s">
        <v>781</v>
      </c>
      <c r="K44" s="12" t="s">
        <v>774</v>
      </c>
      <c r="L44" s="11"/>
      <c r="M44" s="11" t="s">
        <v>773</v>
      </c>
      <c r="N44" s="12" t="s">
        <v>472</v>
      </c>
      <c r="P44" s="12">
        <f>AVERAGE(K46:K48)</f>
        <v>4.6101786476205318</v>
      </c>
      <c r="Q44" s="12">
        <f>SQRT(VAR(K46:K48)/3)</f>
        <v>7.56581987095898E-2</v>
      </c>
    </row>
    <row r="45" spans="1:17" ht="25.5" x14ac:dyDescent="0.25">
      <c r="A45" s="13" t="s">
        <v>746</v>
      </c>
      <c r="B45" s="14">
        <v>1</v>
      </c>
      <c r="C45" s="15"/>
      <c r="D45" s="16"/>
      <c r="E45" s="17"/>
      <c r="F45" s="15">
        <f>K11</f>
        <v>265500</v>
      </c>
      <c r="G45" s="149" t="s">
        <v>51</v>
      </c>
      <c r="H45" s="155"/>
      <c r="K45" s="12">
        <f>LOG(F45)</f>
        <v>5.4240645254174877</v>
      </c>
      <c r="L45" s="11"/>
      <c r="M45" s="12">
        <f>(LOG(GEOMEAN(F46:F48)))-(LOG(GEOMEAN(F49:F53)))</f>
        <v>4.6101786476205318</v>
      </c>
      <c r="N45" s="90">
        <f>SQRT(VAR(K46:K48)/3+(VAR(K49:K53)/5))</f>
        <v>7.56581987095898E-2</v>
      </c>
    </row>
    <row r="46" spans="1:17" x14ac:dyDescent="0.25">
      <c r="A46" s="148" t="s">
        <v>748</v>
      </c>
      <c r="B46" s="14">
        <v>1</v>
      </c>
      <c r="C46" s="15"/>
      <c r="D46" s="16"/>
      <c r="E46" s="17"/>
      <c r="F46" s="15">
        <f>K14</f>
        <v>31066.666666666664</v>
      </c>
      <c r="G46" s="156">
        <f>AVERAGE(F46:F48)</f>
        <v>42033.333333333336</v>
      </c>
      <c r="H46" s="167">
        <f>STDEV(F46:F48)</f>
        <v>13004.400964459846</v>
      </c>
      <c r="K46" s="12">
        <f t="shared" ref="K46:K53" si="0">LOG(F46)</f>
        <v>4.4922946576343188</v>
      </c>
      <c r="L46" s="11"/>
      <c r="M46" s="11"/>
      <c r="N46" s="12"/>
    </row>
    <row r="47" spans="1:17" x14ac:dyDescent="0.25">
      <c r="A47" s="148"/>
      <c r="B47" s="14">
        <v>2</v>
      </c>
      <c r="C47" s="15"/>
      <c r="D47" s="16"/>
      <c r="E47" s="17"/>
      <c r="F47" s="15">
        <f>K17</f>
        <v>56399.999999999993</v>
      </c>
      <c r="G47" s="157"/>
      <c r="H47" s="168"/>
      <c r="K47" s="12">
        <f t="shared" si="0"/>
        <v>4.7512791039833422</v>
      </c>
      <c r="L47" s="11"/>
      <c r="M47" s="11"/>
      <c r="N47" s="12"/>
    </row>
    <row r="48" spans="1:17" x14ac:dyDescent="0.25">
      <c r="A48" s="148"/>
      <c r="B48" s="14">
        <v>3</v>
      </c>
      <c r="C48" s="15"/>
      <c r="D48" s="16"/>
      <c r="E48" s="17"/>
      <c r="F48" s="15">
        <f>K20</f>
        <v>38633.333333333336</v>
      </c>
      <c r="G48" s="158"/>
      <c r="H48" s="169"/>
      <c r="K48" s="12">
        <f t="shared" si="0"/>
        <v>4.5869621812439334</v>
      </c>
      <c r="L48" s="11"/>
      <c r="M48" s="11"/>
      <c r="N48" s="12"/>
    </row>
    <row r="49" spans="1:16" x14ac:dyDescent="0.25">
      <c r="A49" s="148" t="s">
        <v>749</v>
      </c>
      <c r="B49" s="14">
        <v>1</v>
      </c>
      <c r="C49" s="65"/>
      <c r="D49" s="17"/>
      <c r="E49" s="15"/>
      <c r="F49" s="65">
        <v>1</v>
      </c>
      <c r="G49" s="145">
        <f>AVERAGE(F49:F53)</f>
        <v>1</v>
      </c>
      <c r="H49" s="185">
        <f>STDEV(F49:F53)</f>
        <v>0</v>
      </c>
      <c r="K49" s="12">
        <f t="shared" si="0"/>
        <v>0</v>
      </c>
      <c r="L49" s="11"/>
      <c r="M49" s="11"/>
      <c r="N49" s="12"/>
    </row>
    <row r="50" spans="1:16" x14ac:dyDescent="0.25">
      <c r="A50" s="148"/>
      <c r="B50" s="14">
        <v>2</v>
      </c>
      <c r="C50" s="65"/>
      <c r="D50" s="17"/>
      <c r="E50" s="15"/>
      <c r="F50" s="91">
        <v>1</v>
      </c>
      <c r="G50" s="162"/>
      <c r="H50" s="186"/>
      <c r="K50" s="12">
        <f t="shared" si="0"/>
        <v>0</v>
      </c>
      <c r="L50" s="11"/>
      <c r="M50" s="11"/>
      <c r="N50" s="12"/>
    </row>
    <row r="51" spans="1:16" x14ac:dyDescent="0.25">
      <c r="A51" s="148"/>
      <c r="B51" s="14">
        <v>3</v>
      </c>
      <c r="C51" s="65"/>
      <c r="D51" s="17"/>
      <c r="E51" s="15"/>
      <c r="F51" s="65">
        <v>1</v>
      </c>
      <c r="G51" s="162"/>
      <c r="H51" s="186"/>
      <c r="K51" s="12">
        <f t="shared" si="0"/>
        <v>0</v>
      </c>
      <c r="L51" s="11"/>
      <c r="M51" s="11"/>
      <c r="N51" s="12">
        <f>VAR(F46:F48)</f>
        <v>169114444.44444418</v>
      </c>
      <c r="O51">
        <f>N51/3</f>
        <v>56371481.481481396</v>
      </c>
      <c r="P51" t="e">
        <f>SQRT(O51/O52)</f>
        <v>#DIV/0!</v>
      </c>
    </row>
    <row r="52" spans="1:16" x14ac:dyDescent="0.25">
      <c r="A52" s="148"/>
      <c r="B52" s="14">
        <v>4</v>
      </c>
      <c r="C52" s="65"/>
      <c r="D52" s="17"/>
      <c r="E52" s="15"/>
      <c r="F52" s="65">
        <v>1</v>
      </c>
      <c r="G52" s="162"/>
      <c r="H52" s="186"/>
      <c r="K52" s="12">
        <f t="shared" si="0"/>
        <v>0</v>
      </c>
      <c r="L52" s="11"/>
      <c r="M52" s="11"/>
      <c r="N52" s="12">
        <f>VAR(F49:F53)</f>
        <v>0</v>
      </c>
      <c r="O52" s="103">
        <f>N52/5</f>
        <v>0</v>
      </c>
    </row>
    <row r="53" spans="1:16" x14ac:dyDescent="0.25">
      <c r="A53" s="148"/>
      <c r="B53" s="14">
        <v>5</v>
      </c>
      <c r="C53" s="65"/>
      <c r="D53" s="17"/>
      <c r="E53" s="15"/>
      <c r="F53" s="65">
        <v>1</v>
      </c>
      <c r="G53" s="163"/>
      <c r="H53" s="187"/>
      <c r="K53" s="12">
        <f t="shared" si="0"/>
        <v>0</v>
      </c>
      <c r="L53" s="11"/>
      <c r="M53" s="11"/>
      <c r="N53" s="12"/>
    </row>
    <row r="54" spans="1:16" x14ac:dyDescent="0.25">
      <c r="D54"/>
      <c r="E54"/>
    </row>
    <row r="55" spans="1:16" x14ac:dyDescent="0.25">
      <c r="D55"/>
      <c r="E55"/>
      <c r="F55" s="92" t="s">
        <v>775</v>
      </c>
      <c r="G55" s="23"/>
      <c r="H55" s="11"/>
      <c r="I55" s="11"/>
      <c r="J55" s="24"/>
      <c r="K55" s="24" t="s">
        <v>779</v>
      </c>
      <c r="L55" s="11"/>
      <c r="M55" s="11"/>
    </row>
    <row r="56" spans="1:16" x14ac:dyDescent="0.25">
      <c r="F56" s="23" t="s">
        <v>776</v>
      </c>
      <c r="G56" s="12"/>
      <c r="H56" s="11"/>
      <c r="I56" s="11"/>
      <c r="J56" s="24"/>
      <c r="K56" s="12"/>
      <c r="L56" s="11"/>
      <c r="M56" s="11"/>
    </row>
    <row r="57" spans="1:16" x14ac:dyDescent="0.25">
      <c r="C57" s="96"/>
      <c r="F57" s="23" t="s">
        <v>777</v>
      </c>
      <c r="G57" s="23"/>
      <c r="H57" s="11"/>
      <c r="I57" s="11"/>
      <c r="J57" s="24"/>
      <c r="K57" s="12"/>
      <c r="L57" s="11"/>
      <c r="M57" s="11"/>
    </row>
    <row r="58" spans="1:16" x14ac:dyDescent="0.25">
      <c r="B58" s="11" t="s">
        <v>808</v>
      </c>
      <c r="C58" s="11" t="s">
        <v>810</v>
      </c>
      <c r="D58" s="12" t="s">
        <v>809</v>
      </c>
    </row>
    <row r="59" spans="1:16" x14ac:dyDescent="0.25">
      <c r="A59" t="s">
        <v>799</v>
      </c>
      <c r="B59" s="11">
        <f>LOG(F46)</f>
        <v>4.4922946576343188</v>
      </c>
      <c r="C59" s="12">
        <f>AVERAGE(B59:B61)</f>
        <v>4.6101786476205318</v>
      </c>
      <c r="D59" s="12">
        <f>STDEV(B59:B61)</f>
        <v>0.1310438441741516</v>
      </c>
    </row>
    <row r="60" spans="1:16" x14ac:dyDescent="0.25">
      <c r="B60" s="11">
        <f t="shared" ref="B60:B66" si="1">LOG(F47)</f>
        <v>4.7512791039833422</v>
      </c>
      <c r="C60" s="11"/>
      <c r="D60" s="12"/>
    </row>
    <row r="61" spans="1:16" x14ac:dyDescent="0.25">
      <c r="B61" s="11">
        <f t="shared" si="1"/>
        <v>4.5869621812439334</v>
      </c>
      <c r="C61" s="11"/>
      <c r="D61" s="12"/>
    </row>
    <row r="62" spans="1:16" x14ac:dyDescent="0.25">
      <c r="A62" t="s">
        <v>807</v>
      </c>
      <c r="B62" s="11">
        <f t="shared" si="1"/>
        <v>0</v>
      </c>
      <c r="C62" s="11">
        <f>AVERAGE(B62:B66)</f>
        <v>0</v>
      </c>
      <c r="D62" s="12">
        <f>STDEV(B62:B66)</f>
        <v>0</v>
      </c>
    </row>
    <row r="63" spans="1:16" x14ac:dyDescent="0.25">
      <c r="B63" s="11">
        <f t="shared" si="1"/>
        <v>0</v>
      </c>
      <c r="C63" s="11"/>
      <c r="D63" s="12"/>
    </row>
    <row r="64" spans="1:16" x14ac:dyDescent="0.25">
      <c r="B64" s="11">
        <f t="shared" si="1"/>
        <v>0</v>
      </c>
      <c r="C64" s="11"/>
      <c r="D64" s="12"/>
    </row>
    <row r="65" spans="2:4" x14ac:dyDescent="0.25">
      <c r="B65" s="11">
        <f t="shared" si="1"/>
        <v>0</v>
      </c>
      <c r="C65" s="11"/>
      <c r="D65" s="12"/>
    </row>
    <row r="66" spans="2:4" x14ac:dyDescent="0.25">
      <c r="B66" s="11">
        <f t="shared" si="1"/>
        <v>0</v>
      </c>
      <c r="C66" s="11"/>
      <c r="D66" s="12"/>
    </row>
  </sheetData>
  <mergeCells count="109">
    <mergeCell ref="A49:A53"/>
    <mergeCell ref="G49:G53"/>
    <mergeCell ref="H49:H53"/>
    <mergeCell ref="J38:J40"/>
    <mergeCell ref="K38:K40"/>
    <mergeCell ref="G45:H45"/>
    <mergeCell ref="A46:A48"/>
    <mergeCell ref="G46:G48"/>
    <mergeCell ref="H46:H48"/>
    <mergeCell ref="A38:A40"/>
    <mergeCell ref="E38:E40"/>
    <mergeCell ref="F38:F40"/>
    <mergeCell ref="G38:G40"/>
    <mergeCell ref="H38:H40"/>
    <mergeCell ref="I38:I40"/>
    <mergeCell ref="J32:J34"/>
    <mergeCell ref="K32:K34"/>
    <mergeCell ref="A35:A37"/>
    <mergeCell ref="E35:E37"/>
    <mergeCell ref="F35:F37"/>
    <mergeCell ref="G35:G37"/>
    <mergeCell ref="H35:H37"/>
    <mergeCell ref="I35:I37"/>
    <mergeCell ref="J35:J37"/>
    <mergeCell ref="K35:K37"/>
    <mergeCell ref="A32:A34"/>
    <mergeCell ref="E32:E34"/>
    <mergeCell ref="F32:F34"/>
    <mergeCell ref="G32:G34"/>
    <mergeCell ref="H32:H34"/>
    <mergeCell ref="I32:I34"/>
    <mergeCell ref="J26:J28"/>
    <mergeCell ref="K26:K28"/>
    <mergeCell ref="A29:A31"/>
    <mergeCell ref="E29:E31"/>
    <mergeCell ref="F29:F31"/>
    <mergeCell ref="G29:G31"/>
    <mergeCell ref="H29:H31"/>
    <mergeCell ref="I29:I31"/>
    <mergeCell ref="J29:J31"/>
    <mergeCell ref="K29:K31"/>
    <mergeCell ref="A26:A28"/>
    <mergeCell ref="E26:E28"/>
    <mergeCell ref="F26:F28"/>
    <mergeCell ref="G26:G28"/>
    <mergeCell ref="H26:H28"/>
    <mergeCell ref="I26:I28"/>
    <mergeCell ref="J20:J22"/>
    <mergeCell ref="K20:K22"/>
    <mergeCell ref="A23:A25"/>
    <mergeCell ref="E23:E25"/>
    <mergeCell ref="F23:F25"/>
    <mergeCell ref="G23:G25"/>
    <mergeCell ref="H23:H25"/>
    <mergeCell ref="I23:I25"/>
    <mergeCell ref="J23:J25"/>
    <mergeCell ref="K23:K25"/>
    <mergeCell ref="A20:A22"/>
    <mergeCell ref="E20:E22"/>
    <mergeCell ref="F20:F22"/>
    <mergeCell ref="G20:G22"/>
    <mergeCell ref="H20:H22"/>
    <mergeCell ref="I20:I22"/>
    <mergeCell ref="J14:J16"/>
    <mergeCell ref="K14:K16"/>
    <mergeCell ref="A17:A19"/>
    <mergeCell ref="E17:E19"/>
    <mergeCell ref="F17:F19"/>
    <mergeCell ref="G17:G19"/>
    <mergeCell ref="H17:H19"/>
    <mergeCell ref="I17:I19"/>
    <mergeCell ref="J17:J19"/>
    <mergeCell ref="K17:K19"/>
    <mergeCell ref="A14:A16"/>
    <mergeCell ref="E14:E16"/>
    <mergeCell ref="F14:F16"/>
    <mergeCell ref="G14:G16"/>
    <mergeCell ref="H14:H16"/>
    <mergeCell ref="I14:I16"/>
    <mergeCell ref="A8:A10"/>
    <mergeCell ref="E8:E10"/>
    <mergeCell ref="F8:F10"/>
    <mergeCell ref="G8:G10"/>
    <mergeCell ref="H8:H10"/>
    <mergeCell ref="I8:I10"/>
    <mergeCell ref="J8:J10"/>
    <mergeCell ref="K8:K10"/>
    <mergeCell ref="A11:A13"/>
    <mergeCell ref="E11:E13"/>
    <mergeCell ref="F11:F13"/>
    <mergeCell ref="G11:G13"/>
    <mergeCell ref="H11:H13"/>
    <mergeCell ref="I11:I13"/>
    <mergeCell ref="J11:J13"/>
    <mergeCell ref="K11:K13"/>
    <mergeCell ref="P2:Q2"/>
    <mergeCell ref="P3:Q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M6:M7"/>
  </mergeCells>
  <conditionalFormatting sqref="E8:E40">
    <cfRule type="cellIs" dxfId="2" priority="1" operator="greaterThan">
      <formula>1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opLeftCell="A32" workbookViewId="0">
      <selection activeCell="B59" sqref="B59:B61"/>
    </sheetView>
  </sheetViews>
  <sheetFormatPr defaultRowHeight="15" x14ac:dyDescent="0.25"/>
  <cols>
    <col min="1" max="2" width="15.7109375" customWidth="1"/>
    <col min="4" max="5" width="9.140625" style="38"/>
    <col min="6" max="6" width="8.5703125" bestFit="1" customWidth="1"/>
    <col min="8" max="8" width="6.7109375" customWidth="1"/>
    <col min="9" max="9" width="9.7109375" customWidth="1"/>
    <col min="11" max="11" width="10" bestFit="1" customWidth="1"/>
    <col min="12" max="12" width="12.140625" bestFit="1" customWidth="1"/>
    <col min="16" max="16" width="10.5703125" customWidth="1"/>
  </cols>
  <sheetData>
    <row r="1" spans="1:16" ht="18.75" x14ac:dyDescent="0.3">
      <c r="A1" s="35" t="s">
        <v>273</v>
      </c>
      <c r="B1" s="35"/>
      <c r="D1" t="s">
        <v>274</v>
      </c>
      <c r="E1"/>
    </row>
    <row r="2" spans="1:16" ht="17.25" x14ac:dyDescent="0.25">
      <c r="D2"/>
      <c r="E2" s="36" t="s">
        <v>275</v>
      </c>
      <c r="F2">
        <v>0.1</v>
      </c>
      <c r="H2" s="36" t="s">
        <v>276</v>
      </c>
      <c r="I2">
        <f>10^-4</f>
        <v>1E-4</v>
      </c>
      <c r="N2" s="37"/>
      <c r="O2" s="143"/>
      <c r="P2" s="143"/>
    </row>
    <row r="3" spans="1:16" ht="17.25" x14ac:dyDescent="0.25">
      <c r="D3"/>
      <c r="E3" s="36" t="s">
        <v>277</v>
      </c>
      <c r="F3">
        <f>10^-2</f>
        <v>0.01</v>
      </c>
      <c r="H3" s="36" t="s">
        <v>278</v>
      </c>
      <c r="I3">
        <f>10^-5</f>
        <v>1.0000000000000001E-5</v>
      </c>
      <c r="K3" s="36"/>
      <c r="M3" s="36"/>
      <c r="O3" s="143"/>
      <c r="P3" s="143"/>
    </row>
    <row r="4" spans="1:16" ht="17.25" x14ac:dyDescent="0.25">
      <c r="D4"/>
      <c r="E4" s="36" t="s">
        <v>279</v>
      </c>
      <c r="F4">
        <f>10^-3</f>
        <v>1E-3</v>
      </c>
      <c r="H4" s="36" t="s">
        <v>280</v>
      </c>
      <c r="I4">
        <f>10^-6</f>
        <v>9.9999999999999995E-7</v>
      </c>
      <c r="K4" s="36"/>
      <c r="M4" s="36"/>
    </row>
    <row r="5" spans="1:16" x14ac:dyDescent="0.25">
      <c r="L5" s="36"/>
      <c r="O5" s="36"/>
    </row>
    <row r="6" spans="1:16" ht="15" customHeight="1" x14ac:dyDescent="0.25">
      <c r="A6" s="172" t="s">
        <v>281</v>
      </c>
      <c r="B6" s="173" t="s">
        <v>202</v>
      </c>
      <c r="C6" s="172" t="s">
        <v>283</v>
      </c>
      <c r="D6" s="175" t="s">
        <v>284</v>
      </c>
      <c r="E6" s="175" t="s">
        <v>49</v>
      </c>
      <c r="F6" s="177" t="s">
        <v>58</v>
      </c>
      <c r="G6" s="148" t="s">
        <v>204</v>
      </c>
      <c r="H6" s="179" t="s">
        <v>45</v>
      </c>
      <c r="I6" s="179" t="s">
        <v>285</v>
      </c>
      <c r="J6" s="148" t="s">
        <v>286</v>
      </c>
      <c r="K6" s="148" t="s">
        <v>287</v>
      </c>
      <c r="L6" s="176" t="s">
        <v>289</v>
      </c>
    </row>
    <row r="7" spans="1:16" x14ac:dyDescent="0.25">
      <c r="A7" s="173"/>
      <c r="B7" s="174"/>
      <c r="C7" s="173"/>
      <c r="D7" s="176"/>
      <c r="E7" s="176"/>
      <c r="F7" s="178"/>
      <c r="G7" s="176"/>
      <c r="H7" s="180"/>
      <c r="I7" s="180"/>
      <c r="J7" s="176"/>
      <c r="K7" s="176"/>
      <c r="L7" s="123"/>
    </row>
    <row r="8" spans="1:16" x14ac:dyDescent="0.25">
      <c r="A8" s="148" t="s">
        <v>291</v>
      </c>
      <c r="B8" s="26"/>
      <c r="C8" s="41" t="s">
        <v>292</v>
      </c>
      <c r="D8" s="42">
        <v>78</v>
      </c>
      <c r="E8" s="181">
        <f>STDEV(D8:D10)/AVERAGE(D8:D10)</f>
        <v>5.9513970064361557E-2</v>
      </c>
      <c r="F8" s="172">
        <v>1E-3</v>
      </c>
      <c r="G8" s="182">
        <f>AVERAGE(D8:D10)</f>
        <v>77</v>
      </c>
      <c r="H8" s="172">
        <v>1</v>
      </c>
      <c r="I8" s="172">
        <v>0.1</v>
      </c>
      <c r="J8" s="172">
        <f>1/F8</f>
        <v>1000</v>
      </c>
      <c r="K8" s="152">
        <f>(G8/I8)*J8*H8</f>
        <v>770000</v>
      </c>
      <c r="L8" s="44"/>
    </row>
    <row r="9" spans="1:16" x14ac:dyDescent="0.25">
      <c r="A9" s="148"/>
      <c r="B9" s="26"/>
      <c r="C9" s="41" t="s">
        <v>293</v>
      </c>
      <c r="D9" s="42">
        <v>81</v>
      </c>
      <c r="E9" s="172"/>
      <c r="F9" s="172"/>
      <c r="G9" s="182"/>
      <c r="H9" s="172"/>
      <c r="I9" s="172"/>
      <c r="J9" s="172"/>
      <c r="K9" s="152"/>
      <c r="L9" s="46"/>
      <c r="M9" s="47"/>
      <c r="N9" s="27"/>
    </row>
    <row r="10" spans="1:16" x14ac:dyDescent="0.25">
      <c r="A10" s="148"/>
      <c r="B10" s="26"/>
      <c r="C10" s="41" t="s">
        <v>294</v>
      </c>
      <c r="D10" s="42">
        <v>72</v>
      </c>
      <c r="E10" s="172"/>
      <c r="F10" s="172"/>
      <c r="G10" s="182"/>
      <c r="H10" s="172"/>
      <c r="I10" s="172"/>
      <c r="J10" s="172"/>
      <c r="K10" s="152"/>
      <c r="L10" s="49"/>
    </row>
    <row r="11" spans="1:16" x14ac:dyDescent="0.25">
      <c r="A11" s="148" t="s">
        <v>295</v>
      </c>
      <c r="B11" s="26" t="s">
        <v>334</v>
      </c>
      <c r="C11" s="41" t="s">
        <v>292</v>
      </c>
      <c r="D11" s="50">
        <v>127</v>
      </c>
      <c r="E11" s="181">
        <f>STDEV(D11:D13)/AVERAGE(D11:D13)</f>
        <v>0.10237797614721633</v>
      </c>
      <c r="F11" s="172">
        <v>0.01</v>
      </c>
      <c r="G11" s="182">
        <f>AVERAGE(D11:D13)</f>
        <v>133.33333333333334</v>
      </c>
      <c r="H11" s="172">
        <v>4.2</v>
      </c>
      <c r="I11" s="172">
        <v>0.1</v>
      </c>
      <c r="J11" s="172">
        <f>1/F11</f>
        <v>100</v>
      </c>
      <c r="K11" s="152">
        <f>(G11/I11)*J11*H11</f>
        <v>560000</v>
      </c>
      <c r="L11" s="51">
        <f>K11/K8</f>
        <v>0.72727272727272729</v>
      </c>
    </row>
    <row r="12" spans="1:16" x14ac:dyDescent="0.25">
      <c r="A12" s="148"/>
      <c r="B12" s="26" t="s">
        <v>335</v>
      </c>
      <c r="C12" s="41" t="s">
        <v>293</v>
      </c>
      <c r="D12" s="50">
        <v>124</v>
      </c>
      <c r="E12" s="172"/>
      <c r="F12" s="172"/>
      <c r="G12" s="182"/>
      <c r="H12" s="172"/>
      <c r="I12" s="172"/>
      <c r="J12" s="172"/>
      <c r="K12" s="152"/>
      <c r="L12" s="46"/>
      <c r="M12" s="52"/>
    </row>
    <row r="13" spans="1:16" x14ac:dyDescent="0.25">
      <c r="A13" s="148"/>
      <c r="B13" s="26" t="s">
        <v>336</v>
      </c>
      <c r="C13" s="41" t="s">
        <v>294</v>
      </c>
      <c r="D13" s="50">
        <v>149</v>
      </c>
      <c r="E13" s="172"/>
      <c r="F13" s="172"/>
      <c r="G13" s="182"/>
      <c r="H13" s="172"/>
      <c r="I13" s="172"/>
      <c r="J13" s="172"/>
      <c r="K13" s="152"/>
      <c r="L13" s="46"/>
    </row>
    <row r="14" spans="1:16" x14ac:dyDescent="0.25">
      <c r="A14" s="148" t="s">
        <v>299</v>
      </c>
      <c r="B14" s="26" t="s">
        <v>337</v>
      </c>
      <c r="C14" s="41" t="s">
        <v>292</v>
      </c>
      <c r="D14" s="50">
        <v>216</v>
      </c>
      <c r="E14" s="181">
        <f>STDEV(D14:D16)/AVERAGE(D14:D16)</f>
        <v>0.1440978023576612</v>
      </c>
      <c r="F14" s="172">
        <v>0.1</v>
      </c>
      <c r="G14" s="182">
        <f>AVERAGE(D14:D16)</f>
        <v>209</v>
      </c>
      <c r="H14" s="172">
        <v>5</v>
      </c>
      <c r="I14" s="172">
        <v>0.1</v>
      </c>
      <c r="J14" s="172">
        <f>1/F14</f>
        <v>10</v>
      </c>
      <c r="K14" s="183">
        <f>(G14/I14)*J14*H14</f>
        <v>104500</v>
      </c>
      <c r="L14" s="54">
        <f>(AVERAGE(K14:K22))</f>
        <v>67637.777777777766</v>
      </c>
      <c r="M14">
        <f>(L14/K8)*100</f>
        <v>8.7841269841269831</v>
      </c>
      <c r="N14" t="s">
        <v>301</v>
      </c>
    </row>
    <row r="15" spans="1:16" x14ac:dyDescent="0.25">
      <c r="A15" s="148"/>
      <c r="B15" s="26" t="s">
        <v>338</v>
      </c>
      <c r="C15" s="41" t="s">
        <v>293</v>
      </c>
      <c r="D15" s="50">
        <v>235</v>
      </c>
      <c r="E15" s="172"/>
      <c r="F15" s="172"/>
      <c r="G15" s="182"/>
      <c r="H15" s="172"/>
      <c r="I15" s="172"/>
      <c r="J15" s="172"/>
      <c r="K15" s="183"/>
      <c r="L15" s="46"/>
      <c r="M15" s="27">
        <f>STDEV(K14:K22)</f>
        <v>42414.812052884103</v>
      </c>
      <c r="N15" t="s">
        <v>303</v>
      </c>
    </row>
    <row r="16" spans="1:16" x14ac:dyDescent="0.25">
      <c r="A16" s="148"/>
      <c r="B16" s="26" t="s">
        <v>339</v>
      </c>
      <c r="C16" s="41" t="s">
        <v>294</v>
      </c>
      <c r="D16" s="50">
        <v>176</v>
      </c>
      <c r="E16" s="172"/>
      <c r="F16" s="172"/>
      <c r="G16" s="182"/>
      <c r="H16" s="172"/>
      <c r="I16" s="172"/>
      <c r="J16" s="172"/>
      <c r="K16" s="183"/>
      <c r="L16" s="46"/>
    </row>
    <row r="17" spans="1:13" x14ac:dyDescent="0.25">
      <c r="A17" s="148" t="s">
        <v>305</v>
      </c>
      <c r="B17" s="26" t="s">
        <v>340</v>
      </c>
      <c r="C17" s="41" t="s">
        <v>292</v>
      </c>
      <c r="D17" s="50">
        <v>146</v>
      </c>
      <c r="E17" s="181">
        <f>STDEV(D17:D19)/AVERAGE(D17:D19)</f>
        <v>5.2364854821263115E-2</v>
      </c>
      <c r="F17" s="172">
        <v>0.1</v>
      </c>
      <c r="G17" s="182">
        <f>AVERAGE(D17:D19)</f>
        <v>148.33333333333334</v>
      </c>
      <c r="H17" s="172">
        <v>5.2</v>
      </c>
      <c r="I17" s="172">
        <v>0.1</v>
      </c>
      <c r="J17" s="172">
        <f>1/F17</f>
        <v>10</v>
      </c>
      <c r="K17" s="183">
        <f>(G17/I17)*J17*H17</f>
        <v>77133.333333333328</v>
      </c>
      <c r="L17" s="46"/>
    </row>
    <row r="18" spans="1:13" x14ac:dyDescent="0.25">
      <c r="A18" s="148"/>
      <c r="B18" s="26" t="s">
        <v>341</v>
      </c>
      <c r="C18" s="41" t="s">
        <v>293</v>
      </c>
      <c r="D18" s="50">
        <v>157</v>
      </c>
      <c r="E18" s="172"/>
      <c r="F18" s="172"/>
      <c r="G18" s="182"/>
      <c r="H18" s="172"/>
      <c r="I18" s="172"/>
      <c r="J18" s="172"/>
      <c r="K18" s="183"/>
      <c r="L18" s="46"/>
    </row>
    <row r="19" spans="1:13" x14ac:dyDescent="0.25">
      <c r="A19" s="148"/>
      <c r="B19" s="26" t="s">
        <v>342</v>
      </c>
      <c r="C19" s="41" t="s">
        <v>294</v>
      </c>
      <c r="D19" s="50">
        <v>142</v>
      </c>
      <c r="E19" s="172"/>
      <c r="F19" s="172"/>
      <c r="G19" s="182"/>
      <c r="H19" s="172"/>
      <c r="I19" s="172"/>
      <c r="J19" s="172"/>
      <c r="K19" s="183"/>
      <c r="L19" s="46"/>
    </row>
    <row r="20" spans="1:13" x14ac:dyDescent="0.25">
      <c r="A20" s="148" t="s">
        <v>308</v>
      </c>
      <c r="B20" s="26" t="s">
        <v>343</v>
      </c>
      <c r="C20" s="41" t="s">
        <v>292</v>
      </c>
      <c r="D20" s="50">
        <v>45</v>
      </c>
      <c r="E20" s="181">
        <f>STDEV(D20:D22)/AVERAGE(D20:D22)</f>
        <v>0.1189680350001653</v>
      </c>
      <c r="F20" s="172">
        <v>0.1</v>
      </c>
      <c r="G20" s="182">
        <f>AVERAGE(D20:D22)</f>
        <v>50.666666666666664</v>
      </c>
      <c r="H20" s="172">
        <v>4.2</v>
      </c>
      <c r="I20" s="172">
        <v>0.1</v>
      </c>
      <c r="J20" s="172">
        <f>1/F20</f>
        <v>10</v>
      </c>
      <c r="K20" s="183">
        <f>(G20/I20)*J20*H20</f>
        <v>21280</v>
      </c>
      <c r="L20" s="46"/>
    </row>
    <row r="21" spans="1:13" x14ac:dyDescent="0.25">
      <c r="A21" s="148"/>
      <c r="B21" s="26" t="s">
        <v>344</v>
      </c>
      <c r="C21" s="41" t="s">
        <v>293</v>
      </c>
      <c r="D21" s="50">
        <v>50</v>
      </c>
      <c r="E21" s="172"/>
      <c r="F21" s="172"/>
      <c r="G21" s="182"/>
      <c r="H21" s="172"/>
      <c r="I21" s="172"/>
      <c r="J21" s="172"/>
      <c r="K21" s="183"/>
      <c r="L21" s="46"/>
    </row>
    <row r="22" spans="1:13" x14ac:dyDescent="0.25">
      <c r="A22" s="148"/>
      <c r="B22" s="26" t="s">
        <v>345</v>
      </c>
      <c r="C22" s="41" t="s">
        <v>294</v>
      </c>
      <c r="D22" s="50">
        <v>57</v>
      </c>
      <c r="E22" s="172"/>
      <c r="F22" s="172"/>
      <c r="G22" s="182"/>
      <c r="H22" s="172"/>
      <c r="I22" s="172"/>
      <c r="J22" s="172"/>
      <c r="K22" s="183"/>
      <c r="L22" s="49"/>
    </row>
    <row r="23" spans="1:13" x14ac:dyDescent="0.25">
      <c r="A23" s="148" t="s">
        <v>312</v>
      </c>
      <c r="B23" s="26" t="s">
        <v>346</v>
      </c>
      <c r="C23" s="41" t="s">
        <v>292</v>
      </c>
      <c r="D23" s="50">
        <v>0</v>
      </c>
      <c r="E23" s="181" t="e">
        <f>STDEV(D23:D25)/AVERAGE(D23:D25)</f>
        <v>#DIV/0!</v>
      </c>
      <c r="F23" s="172">
        <v>1</v>
      </c>
      <c r="G23" s="182">
        <f>AVERAGE(D23:D25)</f>
        <v>0</v>
      </c>
      <c r="H23" s="172">
        <v>5.2</v>
      </c>
      <c r="I23" s="172">
        <v>5.2</v>
      </c>
      <c r="J23" s="172">
        <v>1</v>
      </c>
      <c r="K23" s="183">
        <f>(G23/I23)*J23*H23</f>
        <v>0</v>
      </c>
      <c r="L23" s="54">
        <f>(AVERAGE(K23:K37))</f>
        <v>0</v>
      </c>
      <c r="M23" s="47"/>
    </row>
    <row r="24" spans="1:13" x14ac:dyDescent="0.25">
      <c r="A24" s="148"/>
      <c r="B24" s="26" t="s">
        <v>347</v>
      </c>
      <c r="C24" s="41" t="s">
        <v>293</v>
      </c>
      <c r="D24" s="42"/>
      <c r="E24" s="172"/>
      <c r="F24" s="172"/>
      <c r="G24" s="182"/>
      <c r="H24" s="172"/>
      <c r="I24" s="172"/>
      <c r="J24" s="172"/>
      <c r="K24" s="183"/>
      <c r="L24" s="46"/>
    </row>
    <row r="25" spans="1:13" x14ac:dyDescent="0.25">
      <c r="A25" s="148"/>
      <c r="B25" s="26" t="s">
        <v>348</v>
      </c>
      <c r="C25" s="41" t="s">
        <v>294</v>
      </c>
      <c r="D25" s="42"/>
      <c r="E25" s="172"/>
      <c r="F25" s="172"/>
      <c r="G25" s="182"/>
      <c r="H25" s="172"/>
      <c r="I25" s="172"/>
      <c r="J25" s="172"/>
      <c r="K25" s="183"/>
      <c r="L25" s="46"/>
    </row>
    <row r="26" spans="1:13" x14ac:dyDescent="0.25">
      <c r="A26" s="148" t="s">
        <v>316</v>
      </c>
      <c r="B26" s="26" t="s">
        <v>349</v>
      </c>
      <c r="C26" s="41" t="s">
        <v>292</v>
      </c>
      <c r="D26" s="42">
        <v>0</v>
      </c>
      <c r="E26" s="181" t="e">
        <f>STDEV(D26:D28)/AVERAGE(D26:D28)</f>
        <v>#DIV/0!</v>
      </c>
      <c r="F26" s="172">
        <v>1</v>
      </c>
      <c r="G26" s="182">
        <f>AVERAGE(D26:D28)</f>
        <v>0</v>
      </c>
      <c r="H26" s="172">
        <v>4.8</v>
      </c>
      <c r="I26" s="172">
        <v>4.8</v>
      </c>
      <c r="J26" s="172">
        <f>1/F26</f>
        <v>1</v>
      </c>
      <c r="K26" s="183">
        <f>(G26/I26)*J26*H26</f>
        <v>0</v>
      </c>
      <c r="L26" s="46"/>
    </row>
    <row r="27" spans="1:13" x14ac:dyDescent="0.25">
      <c r="A27" s="148"/>
      <c r="B27" s="26" t="s">
        <v>350</v>
      </c>
      <c r="C27" s="41" t="s">
        <v>293</v>
      </c>
      <c r="D27" s="42"/>
      <c r="E27" s="172"/>
      <c r="F27" s="172"/>
      <c r="G27" s="182"/>
      <c r="H27" s="172"/>
      <c r="I27" s="172"/>
      <c r="J27" s="172"/>
      <c r="K27" s="183"/>
      <c r="L27" s="57"/>
    </row>
    <row r="28" spans="1:13" x14ac:dyDescent="0.25">
      <c r="A28" s="148"/>
      <c r="B28" s="26" t="s">
        <v>351</v>
      </c>
      <c r="C28" s="41" t="s">
        <v>294</v>
      </c>
      <c r="D28" s="42"/>
      <c r="E28" s="172"/>
      <c r="F28" s="172"/>
      <c r="G28" s="182"/>
      <c r="H28" s="172"/>
      <c r="I28" s="172"/>
      <c r="J28" s="172"/>
      <c r="K28" s="183"/>
      <c r="L28" s="57"/>
    </row>
    <row r="29" spans="1:13" x14ac:dyDescent="0.25">
      <c r="A29" s="148" t="s">
        <v>320</v>
      </c>
      <c r="B29" s="26" t="s">
        <v>352</v>
      </c>
      <c r="C29" s="41" t="s">
        <v>292</v>
      </c>
      <c r="D29" s="42">
        <v>0</v>
      </c>
      <c r="E29" s="181" t="e">
        <f>STDEV(D29:D31)/AVERAGE(D29:D31)</f>
        <v>#DIV/0!</v>
      </c>
      <c r="F29" s="172">
        <v>1</v>
      </c>
      <c r="G29" s="182">
        <f>AVERAGE(D29:D31)</f>
        <v>0</v>
      </c>
      <c r="H29" s="172">
        <v>3.9</v>
      </c>
      <c r="I29" s="172">
        <v>3.9</v>
      </c>
      <c r="J29" s="172">
        <f>1/F29</f>
        <v>1</v>
      </c>
      <c r="K29" s="183">
        <f>(G29/I29)*J29*H29</f>
        <v>0</v>
      </c>
      <c r="L29" s="57"/>
    </row>
    <row r="30" spans="1:13" x14ac:dyDescent="0.25">
      <c r="A30" s="148"/>
      <c r="B30" s="26" t="s">
        <v>353</v>
      </c>
      <c r="C30" s="41" t="s">
        <v>293</v>
      </c>
      <c r="D30" s="42"/>
      <c r="E30" s="172"/>
      <c r="F30" s="172"/>
      <c r="G30" s="182"/>
      <c r="H30" s="172"/>
      <c r="I30" s="172"/>
      <c r="J30" s="172"/>
      <c r="K30" s="183"/>
      <c r="L30" s="57"/>
    </row>
    <row r="31" spans="1:13" x14ac:dyDescent="0.25">
      <c r="A31" s="148"/>
      <c r="B31" s="26" t="s">
        <v>354</v>
      </c>
      <c r="C31" s="41" t="s">
        <v>294</v>
      </c>
      <c r="D31" s="42"/>
      <c r="E31" s="172"/>
      <c r="F31" s="172"/>
      <c r="G31" s="182"/>
      <c r="H31" s="172"/>
      <c r="I31" s="172"/>
      <c r="J31" s="172"/>
      <c r="K31" s="184"/>
      <c r="L31" s="57"/>
    </row>
    <row r="32" spans="1:13" x14ac:dyDescent="0.25">
      <c r="A32" s="148" t="s">
        <v>324</v>
      </c>
      <c r="B32" s="26" t="s">
        <v>355</v>
      </c>
      <c r="C32" s="41" t="s">
        <v>292</v>
      </c>
      <c r="D32" s="42">
        <v>0</v>
      </c>
      <c r="E32" s="181" t="e">
        <f>STDEV(D32:D34)/AVERAGE(D32:D34)</f>
        <v>#DIV/0!</v>
      </c>
      <c r="F32" s="172">
        <v>1</v>
      </c>
      <c r="G32" s="182">
        <f>AVERAGE(D32:D34)</f>
        <v>0</v>
      </c>
      <c r="H32" s="172">
        <v>4.0999999999999996</v>
      </c>
      <c r="I32" s="172">
        <v>4.0999999999999996</v>
      </c>
      <c r="J32" s="172">
        <f>1/F32</f>
        <v>1</v>
      </c>
      <c r="K32" s="183">
        <f>(G32/I32)*J32*H32</f>
        <v>0</v>
      </c>
      <c r="L32" s="59"/>
    </row>
    <row r="33" spans="1:17" x14ac:dyDescent="0.25">
      <c r="A33" s="148"/>
      <c r="B33" s="26" t="s">
        <v>356</v>
      </c>
      <c r="C33" s="41" t="s">
        <v>293</v>
      </c>
      <c r="D33" s="42"/>
      <c r="E33" s="172"/>
      <c r="F33" s="172"/>
      <c r="G33" s="182"/>
      <c r="H33" s="172"/>
      <c r="I33" s="172"/>
      <c r="J33" s="172"/>
      <c r="K33" s="183"/>
      <c r="L33" s="57"/>
    </row>
    <row r="34" spans="1:17" x14ac:dyDescent="0.25">
      <c r="A34" s="148"/>
      <c r="B34" s="26" t="s">
        <v>357</v>
      </c>
      <c r="C34" s="41" t="s">
        <v>294</v>
      </c>
      <c r="D34" s="42"/>
      <c r="E34" s="172"/>
      <c r="F34" s="172"/>
      <c r="G34" s="182"/>
      <c r="H34" s="172"/>
      <c r="I34" s="172"/>
      <c r="J34" s="172"/>
      <c r="K34" s="183"/>
      <c r="L34" s="57"/>
    </row>
    <row r="35" spans="1:17" x14ac:dyDescent="0.25">
      <c r="A35" s="148" t="s">
        <v>328</v>
      </c>
      <c r="B35" s="26" t="s">
        <v>358</v>
      </c>
      <c r="C35" s="41" t="s">
        <v>292</v>
      </c>
      <c r="D35" s="42">
        <v>0</v>
      </c>
      <c r="E35" s="181" t="e">
        <f>STDEV(D35:D37)/AVERAGE(D35:D37)</f>
        <v>#DIV/0!</v>
      </c>
      <c r="F35" s="172">
        <v>1</v>
      </c>
      <c r="G35" s="182">
        <f>AVERAGE(D35:D37)</f>
        <v>0</v>
      </c>
      <c r="H35" s="172">
        <v>6.1</v>
      </c>
      <c r="I35" s="172">
        <v>6.1</v>
      </c>
      <c r="J35" s="172">
        <f>1/F35</f>
        <v>1</v>
      </c>
      <c r="K35" s="183">
        <f>(G35/I35)*J35*H35</f>
        <v>0</v>
      </c>
      <c r="L35" s="57"/>
    </row>
    <row r="36" spans="1:17" x14ac:dyDescent="0.25">
      <c r="A36" s="148"/>
      <c r="B36" s="26" t="s">
        <v>359</v>
      </c>
      <c r="C36" s="41" t="s">
        <v>293</v>
      </c>
      <c r="D36" s="42"/>
      <c r="E36" s="172"/>
      <c r="F36" s="172"/>
      <c r="G36" s="182"/>
      <c r="H36" s="172"/>
      <c r="I36" s="172"/>
      <c r="J36" s="172"/>
      <c r="K36" s="183"/>
      <c r="L36" s="57"/>
    </row>
    <row r="37" spans="1:17" x14ac:dyDescent="0.25">
      <c r="A37" s="148"/>
      <c r="B37" s="26" t="s">
        <v>360</v>
      </c>
      <c r="C37" s="41" t="s">
        <v>294</v>
      </c>
      <c r="D37" s="42"/>
      <c r="E37" s="172"/>
      <c r="F37" s="172"/>
      <c r="G37" s="182"/>
      <c r="H37" s="172"/>
      <c r="I37" s="172"/>
      <c r="J37" s="172"/>
      <c r="K37" s="183"/>
      <c r="L37" s="60"/>
    </row>
    <row r="38" spans="1:17" x14ac:dyDescent="0.25">
      <c r="A38" s="148" t="s">
        <v>332</v>
      </c>
      <c r="B38" s="26" t="s">
        <v>361</v>
      </c>
      <c r="C38" s="41" t="s">
        <v>292</v>
      </c>
      <c r="D38" s="50">
        <v>0</v>
      </c>
      <c r="E38" s="181" t="e">
        <f>STDEV(D38:D40)/AVERAGE(D38:D40)</f>
        <v>#DIV/0!</v>
      </c>
      <c r="F38" s="172">
        <v>1</v>
      </c>
      <c r="G38" s="182">
        <f>AVERAGE(D38:D40)</f>
        <v>0</v>
      </c>
      <c r="H38" s="172">
        <v>3.9</v>
      </c>
      <c r="I38" s="172">
        <v>3.9</v>
      </c>
      <c r="J38" s="172">
        <f>1/F38</f>
        <v>1</v>
      </c>
      <c r="K38" s="183">
        <f>(G38/I38)*J38*H38</f>
        <v>0</v>
      </c>
    </row>
    <row r="39" spans="1:17" x14ac:dyDescent="0.25">
      <c r="A39" s="148"/>
      <c r="B39" s="26"/>
      <c r="C39" s="41" t="s">
        <v>293</v>
      </c>
      <c r="D39" s="50"/>
      <c r="E39" s="172"/>
      <c r="F39" s="172"/>
      <c r="G39" s="182"/>
      <c r="H39" s="172"/>
      <c r="I39" s="172"/>
      <c r="J39" s="172"/>
      <c r="K39" s="183"/>
    </row>
    <row r="40" spans="1:17" x14ac:dyDescent="0.25">
      <c r="A40" s="148"/>
      <c r="B40" s="26"/>
      <c r="C40" s="41" t="s">
        <v>294</v>
      </c>
      <c r="D40" s="50"/>
      <c r="E40" s="172"/>
      <c r="F40" s="172"/>
      <c r="G40" s="182"/>
      <c r="H40" s="172"/>
      <c r="I40" s="172"/>
      <c r="J40" s="172"/>
      <c r="K40" s="183"/>
    </row>
    <row r="41" spans="1:17" x14ac:dyDescent="0.25">
      <c r="D41"/>
      <c r="E41"/>
    </row>
    <row r="42" spans="1:17" x14ac:dyDescent="0.25">
      <c r="D42"/>
      <c r="E42"/>
      <c r="P42" s="11" t="s">
        <v>797</v>
      </c>
      <c r="Q42" s="11"/>
    </row>
    <row r="43" spans="1:17" x14ac:dyDescent="0.25">
      <c r="A43" t="s">
        <v>761</v>
      </c>
      <c r="B43" s="11"/>
      <c r="C43" s="11" t="s">
        <v>759</v>
      </c>
      <c r="D43"/>
      <c r="E43" s="23" t="s">
        <v>763</v>
      </c>
      <c r="P43" s="106" t="s">
        <v>798</v>
      </c>
      <c r="Q43" s="11" t="s">
        <v>472</v>
      </c>
    </row>
    <row r="44" spans="1:17" ht="45" x14ac:dyDescent="0.25">
      <c r="A44" s="5" t="s">
        <v>42</v>
      </c>
      <c r="B44" s="6" t="s">
        <v>43</v>
      </c>
      <c r="C44" s="7" t="s">
        <v>44</v>
      </c>
      <c r="D44" s="7" t="s">
        <v>45</v>
      </c>
      <c r="E44" s="8" t="s">
        <v>46</v>
      </c>
      <c r="F44" s="9" t="s">
        <v>47</v>
      </c>
      <c r="G44" s="10" t="s">
        <v>48</v>
      </c>
      <c r="H44" s="10" t="s">
        <v>781</v>
      </c>
      <c r="K44" s="12" t="s">
        <v>774</v>
      </c>
      <c r="L44" s="11"/>
      <c r="M44" s="11" t="s">
        <v>773</v>
      </c>
      <c r="N44" s="12" t="s">
        <v>472</v>
      </c>
      <c r="P44" s="12">
        <f>AVERAGE(K46:K48)</f>
        <v>4.7447766713220503</v>
      </c>
      <c r="Q44" s="12">
        <f>SQRT(VAR(K46:K48)/3)</f>
        <v>0.21185099824634596</v>
      </c>
    </row>
    <row r="45" spans="1:17" ht="25.5" x14ac:dyDescent="0.25">
      <c r="A45" s="13" t="s">
        <v>746</v>
      </c>
      <c r="B45" s="14">
        <v>1</v>
      </c>
      <c r="C45" s="15"/>
      <c r="D45" s="16"/>
      <c r="E45" s="17"/>
      <c r="F45" s="15">
        <f>K11</f>
        <v>560000</v>
      </c>
      <c r="G45" s="149" t="s">
        <v>51</v>
      </c>
      <c r="H45" s="155"/>
      <c r="K45" s="12">
        <f>LOG(F45)</f>
        <v>5.7481880270062007</v>
      </c>
      <c r="L45" s="11"/>
      <c r="M45" s="12">
        <f>(LOG(GEOMEAN(F46:F48)))-(LOG(GEOMEAN(F49:F53)))</f>
        <v>4.7447766713220503</v>
      </c>
      <c r="N45" s="90">
        <f>SQRT(VAR(K46:K48)/3+(VAR(K49:K53)/5))</f>
        <v>0.21185099824634596</v>
      </c>
    </row>
    <row r="46" spans="1:17" x14ac:dyDescent="0.25">
      <c r="A46" s="148" t="s">
        <v>748</v>
      </c>
      <c r="B46" s="14">
        <v>1</v>
      </c>
      <c r="C46" s="15"/>
      <c r="D46" s="16"/>
      <c r="E46" s="17"/>
      <c r="F46" s="15">
        <f>K14</f>
        <v>104500</v>
      </c>
      <c r="G46" s="156">
        <f>AVERAGE(F46:F48)</f>
        <v>67637.777777777766</v>
      </c>
      <c r="H46" s="159">
        <f>STDEV(F46:F48)</f>
        <v>42414.812052884103</v>
      </c>
      <c r="K46" s="12">
        <f t="shared" ref="K46:K53" si="0">LOG(F46)</f>
        <v>5.019116290447073</v>
      </c>
      <c r="L46" s="11"/>
      <c r="M46" s="11"/>
      <c r="N46" s="12"/>
    </row>
    <row r="47" spans="1:17" x14ac:dyDescent="0.25">
      <c r="A47" s="148"/>
      <c r="B47" s="14">
        <v>2</v>
      </c>
      <c r="C47" s="15"/>
      <c r="D47" s="16"/>
      <c r="E47" s="17"/>
      <c r="F47" s="15">
        <f>K17</f>
        <v>77133.333333333328</v>
      </c>
      <c r="G47" s="157"/>
      <c r="H47" s="160"/>
      <c r="K47" s="12">
        <f t="shared" si="0"/>
        <v>4.8872420998960679</v>
      </c>
      <c r="L47" s="11"/>
      <c r="M47" s="11"/>
      <c r="N47" s="12"/>
    </row>
    <row r="48" spans="1:17" x14ac:dyDescent="0.25">
      <c r="A48" s="148"/>
      <c r="B48" s="14">
        <v>3</v>
      </c>
      <c r="C48" s="15"/>
      <c r="D48" s="16"/>
      <c r="E48" s="17"/>
      <c r="F48" s="15">
        <f>K20</f>
        <v>21280</v>
      </c>
      <c r="G48" s="158"/>
      <c r="H48" s="161"/>
      <c r="K48" s="12">
        <f t="shared" si="0"/>
        <v>4.3279716236230108</v>
      </c>
      <c r="L48" s="11"/>
      <c r="M48" s="11"/>
      <c r="N48" s="12"/>
    </row>
    <row r="49" spans="1:14" x14ac:dyDescent="0.25">
      <c r="A49" s="148" t="s">
        <v>749</v>
      </c>
      <c r="B49" s="14">
        <v>1</v>
      </c>
      <c r="C49" s="65"/>
      <c r="D49" s="17"/>
      <c r="E49" s="15"/>
      <c r="F49" s="91">
        <v>1</v>
      </c>
      <c r="G49" s="145">
        <v>0</v>
      </c>
      <c r="H49" s="147">
        <f>STDEV(F49:F53)</f>
        <v>0</v>
      </c>
      <c r="K49" s="12">
        <f t="shared" si="0"/>
        <v>0</v>
      </c>
      <c r="L49" s="11"/>
      <c r="M49" s="11"/>
      <c r="N49" s="12"/>
    </row>
    <row r="50" spans="1:14" x14ac:dyDescent="0.25">
      <c r="A50" s="148"/>
      <c r="B50" s="14">
        <v>2</v>
      </c>
      <c r="C50" s="65"/>
      <c r="D50" s="17"/>
      <c r="E50" s="15"/>
      <c r="F50" s="91">
        <v>1</v>
      </c>
      <c r="G50" s="162"/>
      <c r="H50" s="164"/>
      <c r="K50" s="12">
        <f t="shared" si="0"/>
        <v>0</v>
      </c>
      <c r="L50" s="11"/>
      <c r="M50" s="11"/>
      <c r="N50" s="12"/>
    </row>
    <row r="51" spans="1:14" x14ac:dyDescent="0.25">
      <c r="A51" s="148"/>
      <c r="B51" s="14">
        <v>3</v>
      </c>
      <c r="C51" s="65"/>
      <c r="D51" s="17"/>
      <c r="E51" s="15"/>
      <c r="F51" s="91">
        <v>1</v>
      </c>
      <c r="G51" s="162"/>
      <c r="H51" s="164"/>
      <c r="K51" s="12">
        <f t="shared" si="0"/>
        <v>0</v>
      </c>
      <c r="L51" s="11"/>
      <c r="M51" s="11"/>
      <c r="N51" s="12"/>
    </row>
    <row r="52" spans="1:14" x14ac:dyDescent="0.25">
      <c r="A52" s="148"/>
      <c r="B52" s="14">
        <v>4</v>
      </c>
      <c r="C52" s="65"/>
      <c r="D52" s="17"/>
      <c r="E52" s="15"/>
      <c r="F52" s="91">
        <v>1</v>
      </c>
      <c r="G52" s="162"/>
      <c r="H52" s="164"/>
      <c r="K52" s="12">
        <f t="shared" si="0"/>
        <v>0</v>
      </c>
      <c r="L52" s="11"/>
      <c r="M52" s="11"/>
      <c r="N52" s="12"/>
    </row>
    <row r="53" spans="1:14" x14ac:dyDescent="0.25">
      <c r="A53" s="148"/>
      <c r="B53" s="14">
        <v>5</v>
      </c>
      <c r="C53" s="65"/>
      <c r="D53" s="17"/>
      <c r="E53" s="15"/>
      <c r="F53" s="91">
        <v>1</v>
      </c>
      <c r="G53" s="163"/>
      <c r="H53" s="165"/>
      <c r="K53" s="12">
        <f t="shared" si="0"/>
        <v>0</v>
      </c>
      <c r="L53" s="11"/>
      <c r="M53" s="11"/>
      <c r="N53" s="12"/>
    </row>
    <row r="54" spans="1:14" x14ac:dyDescent="0.25">
      <c r="D54"/>
      <c r="E54"/>
    </row>
    <row r="55" spans="1:14" x14ac:dyDescent="0.25">
      <c r="D55"/>
      <c r="E55"/>
      <c r="F55" s="92" t="s">
        <v>775</v>
      </c>
      <c r="G55" s="23"/>
      <c r="H55" s="11"/>
      <c r="I55" s="11"/>
      <c r="J55" s="24"/>
      <c r="K55" s="24" t="s">
        <v>779</v>
      </c>
      <c r="L55" s="11"/>
      <c r="M55" s="11"/>
    </row>
    <row r="56" spans="1:14" x14ac:dyDescent="0.25">
      <c r="F56" s="23" t="s">
        <v>776</v>
      </c>
      <c r="G56" s="12"/>
      <c r="H56" s="11"/>
      <c r="I56" s="11"/>
      <c r="J56" s="24"/>
      <c r="K56" s="12"/>
      <c r="L56" s="11"/>
      <c r="M56" s="11"/>
    </row>
    <row r="57" spans="1:14" x14ac:dyDescent="0.25">
      <c r="F57" s="23" t="s">
        <v>777</v>
      </c>
      <c r="G57" s="23"/>
      <c r="H57" s="11"/>
      <c r="I57" s="11"/>
      <c r="J57" s="24"/>
      <c r="K57" s="12"/>
      <c r="L57" s="11"/>
      <c r="M57" s="11"/>
    </row>
    <row r="58" spans="1:14" x14ac:dyDescent="0.25">
      <c r="B58" s="11" t="s">
        <v>808</v>
      </c>
      <c r="C58" s="11" t="s">
        <v>810</v>
      </c>
      <c r="D58" s="12" t="s">
        <v>809</v>
      </c>
    </row>
    <row r="59" spans="1:14" x14ac:dyDescent="0.25">
      <c r="A59" t="s">
        <v>799</v>
      </c>
      <c r="B59" s="11">
        <f>LOG(F46)</f>
        <v>5.019116290447073</v>
      </c>
      <c r="C59" s="12">
        <f>AVERAGE(B59:B61)</f>
        <v>4.7447766713220503</v>
      </c>
      <c r="D59" s="12">
        <f>STDEV(B59:B61)</f>
        <v>0.3669366925968563</v>
      </c>
    </row>
    <row r="60" spans="1:14" x14ac:dyDescent="0.25">
      <c r="B60" s="11">
        <f t="shared" ref="B60:B66" si="1">LOG(F47)</f>
        <v>4.8872420998960679</v>
      </c>
      <c r="C60" s="11"/>
      <c r="D60" s="12"/>
    </row>
    <row r="61" spans="1:14" x14ac:dyDescent="0.25">
      <c r="B61" s="11">
        <f t="shared" si="1"/>
        <v>4.3279716236230108</v>
      </c>
      <c r="C61" s="11"/>
      <c r="D61" s="12"/>
    </row>
    <row r="62" spans="1:14" x14ac:dyDescent="0.25">
      <c r="A62" t="s">
        <v>807</v>
      </c>
      <c r="B62" s="11">
        <f t="shared" si="1"/>
        <v>0</v>
      </c>
      <c r="C62" s="11">
        <f>AVERAGE(B62:B66)</f>
        <v>0</v>
      </c>
      <c r="D62" s="12">
        <f>STDEV(B62:B66)</f>
        <v>0</v>
      </c>
    </row>
    <row r="63" spans="1:14" x14ac:dyDescent="0.25">
      <c r="B63" s="11">
        <f t="shared" si="1"/>
        <v>0</v>
      </c>
      <c r="C63" s="11"/>
      <c r="D63" s="12"/>
    </row>
    <row r="64" spans="1:14" x14ac:dyDescent="0.25">
      <c r="B64" s="11">
        <f t="shared" si="1"/>
        <v>0</v>
      </c>
      <c r="C64" s="11"/>
      <c r="D64" s="12"/>
    </row>
    <row r="65" spans="2:4" x14ac:dyDescent="0.25">
      <c r="B65" s="11">
        <f t="shared" si="1"/>
        <v>0</v>
      </c>
      <c r="C65" s="11"/>
      <c r="D65" s="12"/>
    </row>
    <row r="66" spans="2:4" x14ac:dyDescent="0.25">
      <c r="B66" s="11">
        <f t="shared" si="1"/>
        <v>0</v>
      </c>
      <c r="C66" s="11"/>
      <c r="D66" s="12"/>
    </row>
  </sheetData>
  <mergeCells count="109">
    <mergeCell ref="A49:A53"/>
    <mergeCell ref="G49:G53"/>
    <mergeCell ref="H49:H53"/>
    <mergeCell ref="J38:J40"/>
    <mergeCell ref="K38:K40"/>
    <mergeCell ref="G45:H45"/>
    <mergeCell ref="A46:A48"/>
    <mergeCell ref="G46:G48"/>
    <mergeCell ref="H46:H48"/>
    <mergeCell ref="A38:A40"/>
    <mergeCell ref="E38:E40"/>
    <mergeCell ref="F38:F40"/>
    <mergeCell ref="G38:G40"/>
    <mergeCell ref="H38:H40"/>
    <mergeCell ref="I38:I40"/>
    <mergeCell ref="J32:J34"/>
    <mergeCell ref="K32:K34"/>
    <mergeCell ref="A35:A37"/>
    <mergeCell ref="E35:E37"/>
    <mergeCell ref="F35:F37"/>
    <mergeCell ref="G35:G37"/>
    <mergeCell ref="H35:H37"/>
    <mergeCell ref="I35:I37"/>
    <mergeCell ref="J35:J37"/>
    <mergeCell ref="K35:K37"/>
    <mergeCell ref="A32:A34"/>
    <mergeCell ref="E32:E34"/>
    <mergeCell ref="F32:F34"/>
    <mergeCell ref="G32:G34"/>
    <mergeCell ref="H32:H34"/>
    <mergeCell ref="I32:I34"/>
    <mergeCell ref="J26:J28"/>
    <mergeCell ref="K26:K28"/>
    <mergeCell ref="A29:A31"/>
    <mergeCell ref="E29:E31"/>
    <mergeCell ref="F29:F31"/>
    <mergeCell ref="G29:G31"/>
    <mergeCell ref="H29:H31"/>
    <mergeCell ref="I29:I31"/>
    <mergeCell ref="J29:J31"/>
    <mergeCell ref="K29:K31"/>
    <mergeCell ref="A26:A28"/>
    <mergeCell ref="E26:E28"/>
    <mergeCell ref="F26:F28"/>
    <mergeCell ref="G26:G28"/>
    <mergeCell ref="H26:H28"/>
    <mergeCell ref="I26:I28"/>
    <mergeCell ref="J20:J22"/>
    <mergeCell ref="K20:K22"/>
    <mergeCell ref="A23:A25"/>
    <mergeCell ref="E23:E25"/>
    <mergeCell ref="F23:F25"/>
    <mergeCell ref="G23:G25"/>
    <mergeCell ref="H23:H25"/>
    <mergeCell ref="I23:I25"/>
    <mergeCell ref="J23:J25"/>
    <mergeCell ref="K23:K25"/>
    <mergeCell ref="A20:A22"/>
    <mergeCell ref="E20:E22"/>
    <mergeCell ref="F20:F22"/>
    <mergeCell ref="G20:G22"/>
    <mergeCell ref="H20:H22"/>
    <mergeCell ref="I20:I22"/>
    <mergeCell ref="J14:J16"/>
    <mergeCell ref="K14:K16"/>
    <mergeCell ref="A17:A19"/>
    <mergeCell ref="E17:E19"/>
    <mergeCell ref="F17:F19"/>
    <mergeCell ref="G17:G19"/>
    <mergeCell ref="H17:H19"/>
    <mergeCell ref="I17:I19"/>
    <mergeCell ref="J17:J19"/>
    <mergeCell ref="K17:K19"/>
    <mergeCell ref="A14:A16"/>
    <mergeCell ref="E14:E16"/>
    <mergeCell ref="F14:F16"/>
    <mergeCell ref="G14:G16"/>
    <mergeCell ref="H14:H16"/>
    <mergeCell ref="I14:I16"/>
    <mergeCell ref="A8:A10"/>
    <mergeCell ref="E8:E10"/>
    <mergeCell ref="F8:F10"/>
    <mergeCell ref="G8:G10"/>
    <mergeCell ref="H8:H10"/>
    <mergeCell ref="I8:I10"/>
    <mergeCell ref="J8:J10"/>
    <mergeCell ref="K8:K10"/>
    <mergeCell ref="A11:A13"/>
    <mergeCell ref="E11:E13"/>
    <mergeCell ref="F11:F13"/>
    <mergeCell ref="G11:G13"/>
    <mergeCell ref="H11:H13"/>
    <mergeCell ref="I11:I13"/>
    <mergeCell ref="J11:J13"/>
    <mergeCell ref="K11:K13"/>
    <mergeCell ref="O2:P2"/>
    <mergeCell ref="O3:P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conditionalFormatting sqref="E8:E40">
    <cfRule type="cellIs" dxfId="1" priority="1" operator="greater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Data Dictionary and Matrix</vt:lpstr>
      <vt:lpstr>Data Summary</vt:lpstr>
      <vt:lpstr>Log Reduction Charts</vt:lpstr>
      <vt:lpstr>Log Reduction Tables</vt:lpstr>
      <vt:lpstr>LBC</vt:lpstr>
      <vt:lpstr>LBS</vt:lpstr>
      <vt:lpstr>LBP</vt:lpstr>
      <vt:lpstr>LWC</vt:lpstr>
      <vt:lpstr>LWS</vt:lpstr>
      <vt:lpstr>LWP</vt:lpstr>
      <vt:lpstr>ABC</vt:lpstr>
      <vt:lpstr>ABS</vt:lpstr>
      <vt:lpstr>ABP</vt:lpstr>
      <vt:lpstr>AWC</vt:lpstr>
      <vt:lpstr>AWS</vt:lpstr>
      <vt:lpstr>AWP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EPA User</dc:creator>
  <cp:lastModifiedBy>Calfee, Worth</cp:lastModifiedBy>
  <cp:lastPrinted>2015-10-21T15:36:33Z</cp:lastPrinted>
  <dcterms:created xsi:type="dcterms:W3CDTF">2015-06-15T15:58:38Z</dcterms:created>
  <dcterms:modified xsi:type="dcterms:W3CDTF">2016-06-24T12:00:11Z</dcterms:modified>
</cp:coreProperties>
</file>