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icrowave\Data\"/>
    </mc:Choice>
  </mc:AlternateContent>
  <bookViews>
    <workbookView xWindow="0" yWindow="0" windowWidth="19200" windowHeight="11580" tabRatio="599" activeTab="2"/>
  </bookViews>
  <sheets>
    <sheet name="Sand" sheetId="3" r:id="rId1"/>
    <sheet name="Soil" sheetId="1" r:id="rId2"/>
    <sheet name="Mix" sheetId="7" r:id="rId3"/>
    <sheet name="energy" sheetId="8" r:id="rId4"/>
    <sheet name="Sludge" sheetId="2" r:id="rId5"/>
    <sheet name="Comparison" sheetId="4" r:id="rId6"/>
    <sheet name="Control" sheetId="5" r:id="rId7"/>
    <sheet name="CHECK" sheetId="6" r:id="rId8"/>
  </sheets>
  <externalReferences>
    <externalReference r:id="rId9"/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2" l="1"/>
  <c r="N25" i="2"/>
  <c r="B25" i="7"/>
  <c r="B19" i="7"/>
  <c r="N22" i="2" l="1"/>
  <c r="N21" i="2"/>
  <c r="L18" i="1"/>
  <c r="L17" i="1"/>
  <c r="L32" i="3"/>
  <c r="L31" i="3"/>
  <c r="F81" i="2" l="1"/>
  <c r="F82" i="2"/>
  <c r="F83" i="2"/>
  <c r="F84" i="2"/>
  <c r="F85" i="2"/>
  <c r="F86" i="2"/>
  <c r="F80" i="2"/>
  <c r="F72" i="2"/>
  <c r="F73" i="2"/>
  <c r="F74" i="2"/>
  <c r="F75" i="2"/>
  <c r="F76" i="2"/>
  <c r="F77" i="2"/>
  <c r="F71" i="2"/>
  <c r="D104" i="1"/>
  <c r="D105" i="1"/>
  <c r="D106" i="1"/>
  <c r="D107" i="1"/>
  <c r="D108" i="1"/>
  <c r="D109" i="1"/>
  <c r="D103" i="1"/>
  <c r="D95" i="1"/>
  <c r="D96" i="1"/>
  <c r="D97" i="1"/>
  <c r="D98" i="1"/>
  <c r="D99" i="1"/>
  <c r="D100" i="1"/>
  <c r="D94" i="1"/>
  <c r="D86" i="1"/>
  <c r="D87" i="1"/>
  <c r="D88" i="1"/>
  <c r="D89" i="1"/>
  <c r="D90" i="1"/>
  <c r="D91" i="1"/>
  <c r="D85" i="1"/>
  <c r="L60" i="3"/>
  <c r="L61" i="3"/>
  <c r="L62" i="3"/>
  <c r="L63" i="3"/>
  <c r="L64" i="3"/>
  <c r="L65" i="3"/>
  <c r="L59" i="3"/>
  <c r="P49" i="3"/>
  <c r="N40" i="3"/>
  <c r="L51" i="3"/>
  <c r="L52" i="3"/>
  <c r="L53" i="3"/>
  <c r="L54" i="3"/>
  <c r="L55" i="3"/>
  <c r="L56" i="3"/>
  <c r="L50" i="3"/>
  <c r="L42" i="3"/>
  <c r="L43" i="3"/>
  <c r="L44" i="3"/>
  <c r="L45" i="3"/>
  <c r="L46" i="3"/>
  <c r="L47" i="3"/>
  <c r="L41" i="3"/>
  <c r="N18" i="6"/>
  <c r="N16" i="6"/>
  <c r="N15" i="6"/>
  <c r="N14" i="6"/>
  <c r="O14" i="6" s="1"/>
  <c r="N13" i="6"/>
  <c r="O12" i="6"/>
  <c r="N12" i="6"/>
  <c r="N11" i="6"/>
  <c r="N10" i="6"/>
  <c r="N9" i="6"/>
  <c r="N8" i="6"/>
  <c r="M7" i="6"/>
  <c r="N7" i="6"/>
  <c r="K8" i="2" l="1"/>
  <c r="J48" i="2"/>
  <c r="K48" i="2"/>
  <c r="J49" i="2"/>
  <c r="K49" i="2"/>
  <c r="J50" i="2"/>
  <c r="K50" i="2"/>
  <c r="J51" i="2"/>
  <c r="K51" i="2"/>
  <c r="J52" i="2"/>
  <c r="K52" i="2"/>
  <c r="J53" i="2"/>
  <c r="K53" i="2"/>
  <c r="K47" i="2"/>
  <c r="J47" i="2"/>
  <c r="K39" i="2"/>
  <c r="K40" i="2"/>
  <c r="K41" i="2"/>
  <c r="K42" i="2"/>
  <c r="K43" i="2"/>
  <c r="K44" i="2"/>
  <c r="J39" i="2"/>
  <c r="J40" i="2"/>
  <c r="J41" i="2"/>
  <c r="J42" i="2"/>
  <c r="J43" i="2"/>
  <c r="J44" i="2"/>
  <c r="K38" i="2"/>
  <c r="J38" i="2"/>
  <c r="J10" i="7" l="1"/>
  <c r="H10" i="7"/>
  <c r="J9" i="7"/>
  <c r="H9" i="7"/>
  <c r="F9" i="7"/>
  <c r="J8" i="7"/>
  <c r="H8" i="7"/>
  <c r="F8" i="7"/>
  <c r="F10" i="7" s="1"/>
  <c r="L41" i="5" l="1"/>
  <c r="P41" i="5" s="1"/>
  <c r="L40" i="5"/>
  <c r="P40" i="5" s="1"/>
  <c r="P39" i="5"/>
  <c r="O39" i="5"/>
  <c r="L39" i="5"/>
  <c r="P38" i="5"/>
  <c r="O38" i="5"/>
  <c r="L38" i="5"/>
  <c r="L37" i="5"/>
  <c r="P37" i="5" s="1"/>
  <c r="P36" i="5"/>
  <c r="L36" i="5"/>
  <c r="O36" i="5" s="1"/>
  <c r="P35" i="5"/>
  <c r="O35" i="5"/>
  <c r="G41" i="5"/>
  <c r="K41" i="5" s="1"/>
  <c r="G40" i="5"/>
  <c r="K40" i="5" s="1"/>
  <c r="K39" i="5"/>
  <c r="J39" i="5"/>
  <c r="G39" i="5"/>
  <c r="G38" i="5"/>
  <c r="K38" i="5" s="1"/>
  <c r="G37" i="5"/>
  <c r="K37" i="5" s="1"/>
  <c r="K36" i="5"/>
  <c r="G36" i="5"/>
  <c r="J36" i="5" s="1"/>
  <c r="K35" i="5"/>
  <c r="J35" i="5"/>
  <c r="B41" i="5"/>
  <c r="F41" i="5" s="1"/>
  <c r="B40" i="5"/>
  <c r="F40" i="5" s="1"/>
  <c r="F39" i="5"/>
  <c r="E39" i="5"/>
  <c r="B39" i="5"/>
  <c r="F38" i="5"/>
  <c r="E38" i="5"/>
  <c r="B38" i="5"/>
  <c r="B37" i="5"/>
  <c r="F37" i="5" s="1"/>
  <c r="F36" i="5"/>
  <c r="B36" i="5"/>
  <c r="E36" i="5" s="1"/>
  <c r="F35" i="5"/>
  <c r="E35" i="5"/>
  <c r="AH33" i="1"/>
  <c r="AI32" i="1"/>
  <c r="AI22" i="1"/>
  <c r="AH32" i="1"/>
  <c r="AI31" i="1"/>
  <c r="AI30" i="1"/>
  <c r="AH28" i="1"/>
  <c r="AI17" i="1"/>
  <c r="AI27" i="1"/>
  <c r="AH30" i="1"/>
  <c r="AI29" i="1"/>
  <c r="AH29" i="1"/>
  <c r="AI28" i="1"/>
  <c r="AI26" i="1"/>
  <c r="AH26" i="1"/>
  <c r="AI16" i="1"/>
  <c r="AH16" i="1"/>
  <c r="AI23" i="1"/>
  <c r="AH23" i="1"/>
  <c r="AI21" i="1"/>
  <c r="AH21" i="1"/>
  <c r="AI20" i="1"/>
  <c r="AH20" i="1"/>
  <c r="AI19" i="1"/>
  <c r="AH19" i="1"/>
  <c r="AI18" i="1"/>
  <c r="AH18" i="1"/>
  <c r="AH17" i="1"/>
  <c r="Z18" i="1"/>
  <c r="S18" i="1"/>
  <c r="R24" i="1"/>
  <c r="AA24" i="1"/>
  <c r="AA23" i="1"/>
  <c r="S23" i="1"/>
  <c r="AA22" i="1"/>
  <c r="S21" i="1"/>
  <c r="AA21" i="1"/>
  <c r="Z20" i="1"/>
  <c r="R20" i="1"/>
  <c r="S19" i="1"/>
  <c r="AA19" i="1"/>
  <c r="AA17" i="1"/>
  <c r="Z17" i="1"/>
  <c r="S17" i="1"/>
  <c r="R17" i="1"/>
  <c r="S22" i="1"/>
  <c r="R22" i="1"/>
  <c r="F43" i="1"/>
  <c r="N43" i="1"/>
  <c r="G43" i="1"/>
  <c r="N42" i="1"/>
  <c r="G42" i="1"/>
  <c r="F42" i="1"/>
  <c r="M41" i="1"/>
  <c r="N41" i="1"/>
  <c r="N40" i="1"/>
  <c r="F40" i="1"/>
  <c r="F41" i="1"/>
  <c r="M39" i="1"/>
  <c r="N39" i="1"/>
  <c r="F39" i="1"/>
  <c r="N38" i="1"/>
  <c r="F38" i="1"/>
  <c r="N37" i="1"/>
  <c r="N36" i="1"/>
  <c r="F36" i="1"/>
  <c r="G35" i="1"/>
  <c r="M38" i="1"/>
  <c r="N35" i="1"/>
  <c r="M35" i="1"/>
  <c r="G36" i="1"/>
  <c r="F37" i="1"/>
  <c r="G37" i="1"/>
  <c r="G40" i="1"/>
  <c r="G41" i="1"/>
  <c r="F35" i="1"/>
  <c r="O37" i="5" l="1"/>
  <c r="O40" i="5"/>
  <c r="O41" i="5"/>
  <c r="J37" i="5"/>
  <c r="J40" i="5"/>
  <c r="J38" i="5"/>
  <c r="J41" i="5"/>
  <c r="E37" i="5"/>
  <c r="E40" i="5"/>
  <c r="E41" i="5"/>
  <c r="AI33" i="1"/>
  <c r="AH22" i="1"/>
  <c r="AH31" i="1"/>
  <c r="AH27" i="1"/>
  <c r="R18" i="1"/>
  <c r="AA18" i="1"/>
  <c r="Z24" i="1"/>
  <c r="S24" i="1"/>
  <c r="Z23" i="1"/>
  <c r="R23" i="1"/>
  <c r="Z22" i="1"/>
  <c r="R21" i="1"/>
  <c r="Z21" i="1"/>
  <c r="S20" i="1"/>
  <c r="AA20" i="1"/>
  <c r="R19" i="1"/>
  <c r="Z19" i="1"/>
  <c r="M43" i="1"/>
  <c r="M42" i="1"/>
  <c r="M40" i="1"/>
  <c r="G39" i="1"/>
  <c r="G38" i="1"/>
  <c r="M37" i="1"/>
  <c r="M36" i="1"/>
  <c r="Q29" i="3" l="1"/>
  <c r="Q21" i="3"/>
  <c r="P28" i="3"/>
  <c r="Q20" i="3"/>
  <c r="Q19" i="3"/>
  <c r="L27" i="3"/>
  <c r="L19" i="3"/>
  <c r="P25" i="3"/>
  <c r="Q28" i="3"/>
  <c r="Q27" i="3"/>
  <c r="P27" i="3"/>
  <c r="Q26" i="3"/>
  <c r="P26" i="3"/>
  <c r="Q25" i="3"/>
  <c r="Q24" i="3"/>
  <c r="P24" i="3"/>
  <c r="Q16" i="3"/>
  <c r="P16" i="3"/>
  <c r="Q18" i="3"/>
  <c r="P18" i="3"/>
  <c r="Q17" i="3"/>
  <c r="P17" i="3"/>
  <c r="P29" i="3" l="1"/>
  <c r="P21" i="3"/>
  <c r="P20" i="3"/>
  <c r="P19" i="3"/>
  <c r="Z28" i="3" l="1"/>
  <c r="Z38" i="3"/>
  <c r="Y27" i="3"/>
  <c r="Z37" i="3"/>
  <c r="Y36" i="3"/>
  <c r="Y26" i="3"/>
  <c r="Z35" i="3"/>
  <c r="Y25" i="3"/>
  <c r="Z34" i="3"/>
  <c r="Y33" i="3"/>
  <c r="Z23" i="3"/>
  <c r="Y35" i="3"/>
  <c r="Z32" i="3"/>
  <c r="Y32" i="3"/>
  <c r="Z24" i="3"/>
  <c r="Y23" i="3"/>
  <c r="Y24" i="3"/>
  <c r="Z22" i="3"/>
  <c r="Y22" i="3"/>
  <c r="Y28" i="3" l="1"/>
  <c r="Y38" i="3"/>
  <c r="Z27" i="3"/>
  <c r="Y37" i="3"/>
  <c r="Z36" i="3"/>
  <c r="Z26" i="3"/>
  <c r="Z25" i="3"/>
  <c r="Y34" i="3"/>
  <c r="Z33" i="3"/>
  <c r="H53" i="3" l="1"/>
  <c r="I53" i="3"/>
  <c r="I52" i="3"/>
  <c r="I51" i="3"/>
  <c r="I47" i="3"/>
  <c r="I48" i="3"/>
  <c r="H49" i="3"/>
  <c r="I50" i="3"/>
  <c r="I49" i="3"/>
  <c r="I46" i="3"/>
  <c r="H46" i="3"/>
  <c r="I45" i="3"/>
  <c r="H45" i="3"/>
  <c r="H52" i="3" l="1"/>
  <c r="H51" i="3"/>
  <c r="H47" i="3"/>
  <c r="H48" i="3"/>
  <c r="H50" i="3"/>
  <c r="I34" i="3" l="1"/>
  <c r="I35" i="3"/>
  <c r="I36" i="3"/>
  <c r="I37" i="3"/>
  <c r="I38" i="3"/>
  <c r="I39" i="3"/>
  <c r="I40" i="3"/>
  <c r="I41" i="3"/>
  <c r="H34" i="3"/>
  <c r="H35" i="3"/>
  <c r="H36" i="3"/>
  <c r="H37" i="3"/>
  <c r="H38" i="3"/>
  <c r="H39" i="3"/>
  <c r="H40" i="3"/>
  <c r="H41" i="3"/>
  <c r="I33" i="3"/>
  <c r="H33" i="3"/>
  <c r="M18" i="6" l="1"/>
  <c r="N17" i="6"/>
  <c r="M16" i="6"/>
  <c r="M15" i="6"/>
  <c r="M13" i="6"/>
  <c r="M10" i="6"/>
  <c r="M17" i="6"/>
  <c r="M14" i="6"/>
  <c r="M12" i="6"/>
  <c r="M11" i="6"/>
  <c r="M8" i="6"/>
  <c r="M9" i="6"/>
  <c r="A7" i="1" l="1"/>
  <c r="A8" i="1"/>
  <c r="A9" i="1"/>
  <c r="A10" i="1"/>
  <c r="A11" i="1"/>
  <c r="A12" i="1"/>
  <c r="A13" i="1"/>
  <c r="A6" i="1"/>
  <c r="A5" i="1"/>
  <c r="C10" i="3"/>
  <c r="C11" i="3"/>
  <c r="C12" i="3"/>
  <c r="C13" i="3"/>
  <c r="C14" i="3"/>
  <c r="C15" i="3"/>
  <c r="C16" i="3"/>
  <c r="C9" i="3"/>
  <c r="K13" i="2"/>
  <c r="N62" i="3" l="1"/>
  <c r="O62" i="3" s="1"/>
  <c r="M66" i="3"/>
  <c r="P57" i="3" s="1"/>
  <c r="P58" i="3" s="1"/>
  <c r="N53" i="3"/>
  <c r="O53" i="3" s="1"/>
  <c r="M57" i="3"/>
  <c r="P48" i="3" s="1"/>
  <c r="N44" i="3"/>
  <c r="O44" i="3" s="1"/>
  <c r="M48" i="3"/>
  <c r="N39" i="3" s="1"/>
  <c r="F95" i="2" l="1"/>
  <c r="F94" i="2"/>
  <c r="F93" i="2"/>
  <c r="H92" i="2"/>
  <c r="I92" i="2" s="1"/>
  <c r="F92" i="2"/>
  <c r="F91" i="2"/>
  <c r="F90" i="2"/>
  <c r="F89" i="2"/>
  <c r="H83" i="2"/>
  <c r="I83" i="2" s="1"/>
  <c r="G87" i="2"/>
  <c r="J78" i="2" s="1"/>
  <c r="J79" i="2" s="1"/>
  <c r="N77" i="2"/>
  <c r="H74" i="2"/>
  <c r="I74" i="2" s="1"/>
  <c r="F106" i="1"/>
  <c r="G106" i="1" s="1"/>
  <c r="F97" i="1"/>
  <c r="G97" i="1" s="1"/>
  <c r="F88" i="1"/>
  <c r="G88" i="1" s="1"/>
  <c r="G96" i="2" l="1"/>
  <c r="J87" i="2" s="1"/>
  <c r="J88" i="2" s="1"/>
  <c r="G78" i="2"/>
  <c r="H69" i="2" s="1"/>
  <c r="H70" i="2" s="1"/>
  <c r="E92" i="1"/>
  <c r="F83" i="1" s="1"/>
  <c r="F84" i="1" s="1"/>
  <c r="E110" i="1" l="1"/>
  <c r="H101" i="1" s="1"/>
  <c r="H102" i="1" s="1"/>
  <c r="E101" i="1"/>
  <c r="H92" i="1" s="1"/>
  <c r="H93" i="1" s="1"/>
  <c r="AE13" i="2"/>
  <c r="AE9" i="2"/>
  <c r="AE10" i="2"/>
  <c r="AE11" i="2"/>
  <c r="AE12" i="2"/>
  <c r="AE8" i="2"/>
  <c r="AD9" i="2"/>
  <c r="AD10" i="2"/>
  <c r="AD12" i="2"/>
  <c r="AD13" i="2"/>
  <c r="AD8" i="2"/>
  <c r="A42" i="4" l="1"/>
  <c r="M14" i="2"/>
  <c r="A41" i="4"/>
  <c r="AD9" i="1" l="1"/>
  <c r="U9" i="2" l="1"/>
  <c r="U10" i="2"/>
  <c r="U11" i="2"/>
  <c r="U12" i="2"/>
  <c r="U13" i="2"/>
  <c r="U8" i="2"/>
  <c r="T9" i="2"/>
  <c r="T10" i="2"/>
  <c r="T11" i="2"/>
  <c r="T12" i="2"/>
  <c r="T13" i="2"/>
  <c r="T8" i="2"/>
  <c r="T12" i="1" l="1"/>
  <c r="T10" i="1"/>
  <c r="T7" i="1"/>
  <c r="T8" i="1"/>
  <c r="T9" i="1"/>
  <c r="T11" i="1"/>
  <c r="T6" i="1"/>
  <c r="S7" i="1"/>
  <c r="S8" i="1"/>
  <c r="S9" i="1"/>
  <c r="S10" i="1"/>
  <c r="S11" i="1"/>
  <c r="S12" i="1"/>
  <c r="S6" i="1"/>
  <c r="AC6" i="1"/>
  <c r="A35" i="4" l="1"/>
  <c r="A36" i="4"/>
  <c r="A37" i="4"/>
  <c r="A38" i="4"/>
  <c r="A39" i="4"/>
  <c r="A40" i="4"/>
  <c r="A34" i="4"/>
  <c r="AG7" i="2" l="1"/>
  <c r="AG8" i="2"/>
  <c r="AG9" i="2"/>
  <c r="AG10" i="2"/>
  <c r="AG11" i="2"/>
  <c r="AG12" i="2"/>
  <c r="K9" i="2"/>
  <c r="K10" i="2"/>
  <c r="K11" i="2"/>
  <c r="K12" i="2"/>
  <c r="J9" i="2"/>
  <c r="J10" i="2"/>
  <c r="J11" i="2"/>
  <c r="J12" i="2"/>
  <c r="J13" i="2"/>
  <c r="J8" i="2"/>
  <c r="AC9" i="1" l="1"/>
  <c r="AE9" i="1"/>
  <c r="G9" i="3" l="1"/>
  <c r="G10" i="3"/>
  <c r="G11" i="3"/>
  <c r="G12" i="3"/>
  <c r="G13" i="3"/>
  <c r="G14" i="3"/>
  <c r="G15" i="3"/>
  <c r="G16" i="3"/>
  <c r="G8" i="3"/>
  <c r="E6" i="1"/>
  <c r="E7" i="1"/>
  <c r="E8" i="1"/>
  <c r="E9" i="1"/>
  <c r="E10" i="1"/>
  <c r="E11" i="1"/>
  <c r="E12" i="1"/>
  <c r="E13" i="1"/>
  <c r="E5" i="1"/>
  <c r="O18" i="6" l="1"/>
  <c r="Q46" i="2" l="1"/>
  <c r="Q45" i="2"/>
  <c r="P39" i="1"/>
  <c r="P38" i="1"/>
  <c r="AE15" i="2" l="1"/>
  <c r="M13" i="2"/>
  <c r="M12" i="2"/>
  <c r="M11" i="2"/>
  <c r="M10" i="2"/>
  <c r="M9" i="2"/>
  <c r="M8" i="2"/>
  <c r="M7" i="2"/>
  <c r="B24" i="1"/>
  <c r="J13" i="1"/>
  <c r="I13" i="1"/>
  <c r="AE12" i="1"/>
  <c r="AD12" i="1"/>
  <c r="AC12" i="1"/>
  <c r="U12" i="1"/>
  <c r="J12" i="1"/>
  <c r="I12" i="1"/>
  <c r="AE11" i="1"/>
  <c r="AD11" i="1"/>
  <c r="AC11" i="1"/>
  <c r="U11" i="1"/>
  <c r="J11" i="1"/>
  <c r="I11" i="1"/>
  <c r="AE10" i="1"/>
  <c r="AD10" i="1"/>
  <c r="AC10" i="1"/>
  <c r="U10" i="1"/>
  <c r="J10" i="1"/>
  <c r="I10" i="1"/>
  <c r="U9" i="1"/>
  <c r="J9" i="1"/>
  <c r="I9" i="1"/>
  <c r="AE8" i="1"/>
  <c r="AD8" i="1"/>
  <c r="AC8" i="1"/>
  <c r="U8" i="1"/>
  <c r="J8" i="1"/>
  <c r="I8" i="1"/>
  <c r="AE7" i="1"/>
  <c r="AD7" i="1"/>
  <c r="AC7" i="1"/>
  <c r="U7" i="1"/>
  <c r="J7" i="1"/>
  <c r="I7" i="1"/>
  <c r="AE6" i="1"/>
  <c r="AD6" i="1"/>
  <c r="U6" i="1"/>
  <c r="J6" i="1"/>
  <c r="I6" i="1"/>
  <c r="AE5" i="1"/>
  <c r="AD5" i="1"/>
  <c r="AC5" i="1"/>
  <c r="U5" i="1"/>
  <c r="AG29" i="3"/>
  <c r="AA15" i="3"/>
  <c r="Z15" i="3"/>
  <c r="AA14" i="3"/>
  <c r="Z14" i="3"/>
  <c r="AA13" i="3"/>
  <c r="Z13" i="3"/>
  <c r="Z12" i="3"/>
  <c r="S12" i="3"/>
  <c r="Z11" i="3"/>
  <c r="S11" i="3"/>
  <c r="Z10" i="3"/>
  <c r="S10" i="3"/>
  <c r="S9" i="3"/>
  <c r="Z8" i="3"/>
  <c r="Q5" i="3"/>
  <c r="Q4" i="3"/>
</calcChain>
</file>

<file path=xl/sharedStrings.xml><?xml version="1.0" encoding="utf-8"?>
<sst xmlns="http://schemas.openxmlformats.org/spreadsheetml/2006/main" count="530" uniqueCount="137">
  <si>
    <t>Time (sec)</t>
  </si>
  <si>
    <t>Power (W)</t>
  </si>
  <si>
    <t>∆T (℃)</t>
  </si>
  <si>
    <t>Media</t>
  </si>
  <si>
    <t>Soil</t>
  </si>
  <si>
    <t>Detection limint (ugCNT/gsludge)</t>
    <phoneticPr fontId="8" type="noConversion"/>
  </si>
  <si>
    <t>MWCNT</t>
  </si>
  <si>
    <t>100w, 20s</t>
  </si>
  <si>
    <t>130w, 30s</t>
  </si>
  <si>
    <t>ave</t>
  </si>
  <si>
    <t>std</t>
  </si>
  <si>
    <t>100W20S</t>
  </si>
  <si>
    <t>130W30S</t>
  </si>
  <si>
    <t>COOH</t>
  </si>
  <si>
    <t>CNT Mass(mg)</t>
  </si>
  <si>
    <t>100W, 20s</t>
  </si>
  <si>
    <t>130W, 30s</t>
  </si>
  <si>
    <t>SWCNT/CTAB</t>
  </si>
  <si>
    <t>100W20S</t>
    <phoneticPr fontId="3" type="noConversion"/>
  </si>
  <si>
    <t>130W30S</t>
    <phoneticPr fontId="3" type="noConversion"/>
  </si>
  <si>
    <t>Subtraction∆T (℃)</t>
  </si>
  <si>
    <t>CNT Mass (mg)</t>
  </si>
  <si>
    <t>SWCNT Mass (mg)</t>
  </si>
  <si>
    <t>MWCNT-COOH Mass (mg)</t>
  </si>
  <si>
    <t>Sand</t>
  </si>
  <si>
    <t>Subtraction ∆T (℃)</t>
  </si>
  <si>
    <t>SWCNT</t>
  </si>
  <si>
    <t>M-COOH</t>
  </si>
  <si>
    <t>Sludge</t>
  </si>
  <si>
    <t>133W15S</t>
  </si>
  <si>
    <t>133W, 15s</t>
  </si>
  <si>
    <t>133w, 15s</t>
  </si>
  <si>
    <t xml:space="preserve">MWCNT </t>
  </si>
  <si>
    <t xml:space="preserve">MWCNT </t>
    <phoneticPr fontId="8" type="noConversion"/>
  </si>
  <si>
    <t>133w</t>
  </si>
  <si>
    <t>CNTs Type</t>
  </si>
  <si>
    <t>CNTs added (mg)</t>
  </si>
  <si>
    <t>Time (s)</t>
  </si>
  <si>
    <t>Reading from curve (mg)</t>
  </si>
  <si>
    <t>Difference (%)</t>
  </si>
  <si>
    <t>MWCNT-COOH</t>
  </si>
  <si>
    <r>
      <t>∆T (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Times New Roman"/>
        <family val="1"/>
      </rPr>
      <t>)</t>
    </r>
  </si>
  <si>
    <t>%</t>
  </si>
  <si>
    <t>soil, 100mg</t>
  </si>
  <si>
    <t>soil46.5mg</t>
  </si>
  <si>
    <t>sand,130mg</t>
  </si>
  <si>
    <t>sand60mg</t>
  </si>
  <si>
    <t>sludge,23</t>
  </si>
  <si>
    <t>sludge10</t>
  </si>
  <si>
    <t>ctab</t>
  </si>
  <si>
    <t>mwcnt</t>
  </si>
  <si>
    <t>mg</t>
  </si>
  <si>
    <t>Sludge</t>
    <phoneticPr fontId="8" type="noConversion"/>
  </si>
  <si>
    <t>45mgSoil</t>
    <phoneticPr fontId="8" type="noConversion"/>
  </si>
  <si>
    <t>45mgsoil</t>
  </si>
  <si>
    <t>MWCNT</t>
    <phoneticPr fontId="8" type="noConversion"/>
  </si>
  <si>
    <t>Low Concentration</t>
  </si>
  <si>
    <t>df=</t>
  </si>
  <si>
    <r>
      <t>t</t>
    </r>
    <r>
      <rPr>
        <vertAlign val="subscript"/>
        <sz val="11"/>
        <color theme="1"/>
        <rFont val="Times New Roman"/>
        <family val="1"/>
      </rPr>
      <t>0.99</t>
    </r>
  </si>
  <si>
    <t>MDL=STD*t value=</t>
  </si>
  <si>
    <t>mgMWCNT/0.1gsoil</t>
  </si>
  <si>
    <t>MWCNT(mg)</t>
  </si>
  <si>
    <t>ugMWCNT/gsoil</t>
  </si>
  <si>
    <t>Sample1</t>
  </si>
  <si>
    <t>Sample2</t>
  </si>
  <si>
    <t>Sample3</t>
  </si>
  <si>
    <t>Sample4</t>
  </si>
  <si>
    <t>Sample5</t>
  </si>
  <si>
    <t>Sample6</t>
  </si>
  <si>
    <t>Sample7</t>
  </si>
  <si>
    <t>STD</t>
  </si>
  <si>
    <t>SWCNT(mg)</t>
  </si>
  <si>
    <t>M-COOH(mg)</t>
  </si>
  <si>
    <t>133W, 15sec</t>
  </si>
  <si>
    <t>ugSWCNT/gsoil</t>
  </si>
  <si>
    <t>ugM-COOH/gsoil</t>
  </si>
  <si>
    <t>mgMWCNT/15.3mgsludge</t>
  </si>
  <si>
    <t>ugMWCNT/gsludge</t>
  </si>
  <si>
    <t>0.12-0.012</t>
  </si>
  <si>
    <t>ugSWCNT/15.3msluge</t>
  </si>
  <si>
    <t>ugMWCNT/gsand</t>
  </si>
  <si>
    <t>AVE</t>
  </si>
  <si>
    <t>ugSWCNT/gsand</t>
  </si>
  <si>
    <t>ugM-COOH/gsand</t>
  </si>
  <si>
    <t>sand</t>
  </si>
  <si>
    <t>soil</t>
  </si>
  <si>
    <t>sludge</t>
  </si>
  <si>
    <t>dencity</t>
  </si>
  <si>
    <t>MWCNTs</t>
  </si>
  <si>
    <t>133,15</t>
  </si>
  <si>
    <t>Mass(mg)</t>
  </si>
  <si>
    <t>100,20</t>
  </si>
  <si>
    <t>SWCNT Mass(mg)</t>
  </si>
  <si>
    <t>Soil:</t>
  </si>
  <si>
    <t>100mg</t>
  </si>
  <si>
    <t>0.1mg</t>
  </si>
  <si>
    <t>Time</t>
  </si>
  <si>
    <t>CTAB</t>
  </si>
  <si>
    <t>Soil only</t>
  </si>
  <si>
    <t>MWCNT+Soil</t>
  </si>
  <si>
    <t>SWCNT+Soil</t>
  </si>
  <si>
    <t>MWCNT-COOH+Soil</t>
  </si>
  <si>
    <t>Inorganic carbon</t>
  </si>
  <si>
    <t>Humic acid</t>
  </si>
  <si>
    <t>70W,20s</t>
  </si>
  <si>
    <t>70W, 30s</t>
  </si>
  <si>
    <t>75W,30s</t>
  </si>
  <si>
    <t>87W,30s</t>
  </si>
  <si>
    <t>93W,15s</t>
  </si>
  <si>
    <t>100W,20s</t>
  </si>
  <si>
    <t>100W,30s</t>
  </si>
  <si>
    <t>130W,20s</t>
  </si>
  <si>
    <t>133W,15</t>
  </si>
  <si>
    <t>149W,15s</t>
  </si>
  <si>
    <t>149W,20s</t>
  </si>
  <si>
    <t>Energy (J)</t>
  </si>
  <si>
    <t>Organic carbon content (mg/100mgsoil)</t>
  </si>
  <si>
    <t>149W, 30sec</t>
  </si>
  <si>
    <t>C60</t>
  </si>
  <si>
    <t>C60/CNT</t>
  </si>
  <si>
    <t>std</t>
    <phoneticPr fontId="1" type="noConversion"/>
  </si>
  <si>
    <t>Ratio</t>
  </si>
  <si>
    <t>38mg C60</t>
  </si>
  <si>
    <t>10 mg GAC</t>
  </si>
  <si>
    <t>5 mg GO</t>
  </si>
  <si>
    <t>GAC</t>
  </si>
  <si>
    <t>GO</t>
  </si>
  <si>
    <t>MWCNT</t>
    <phoneticPr fontId="8" type="noConversion"/>
  </si>
  <si>
    <t>133,15</t>
    <phoneticPr fontId="8" type="noConversion"/>
  </si>
  <si>
    <t>Ave</t>
    <phoneticPr fontId="8" type="noConversion"/>
  </si>
  <si>
    <t>Std</t>
    <phoneticPr fontId="8" type="noConversion"/>
  </si>
  <si>
    <t>SWCNT</t>
    <phoneticPr fontId="8" type="noConversion"/>
  </si>
  <si>
    <t>S</t>
  </si>
  <si>
    <t>5ML</t>
  </si>
  <si>
    <t>M</t>
  </si>
  <si>
    <t>3ml</t>
  </si>
  <si>
    <t>1.5ml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</si>
</sst>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.00_ "/>
  </numFmts>
  <fonts count="18" x14ac:knownFonts="1">
    <font>
      <sz val="12"/>
      <color theme="1"/>
      <name val="宋体"/>
      <family val="2"/>
      <scheme val="minor"/>
    </font>
    <font>
      <sz val="11"/>
      <color theme="1"/>
      <name val="Times New Roman"/>
      <family val="1"/>
    </font>
    <font>
      <sz val="11"/>
      <color rgb="FF00B050"/>
      <name val="Times New Roman"/>
      <family val="1"/>
    </font>
    <font>
      <sz val="12"/>
      <color rgb="FF00B050"/>
      <name val="Times New Roman"/>
      <family val="1"/>
    </font>
    <font>
      <sz val="11"/>
      <color rgb="FF0070C0"/>
      <name val="Times New Roman"/>
      <family val="1"/>
    </font>
    <font>
      <sz val="11"/>
      <color rgb="FF7030A0"/>
      <name val="Times New Roman"/>
      <family val="1"/>
    </font>
    <font>
      <sz val="11"/>
      <color rgb="FF000000"/>
      <name val="Times New Roman"/>
      <family val="1"/>
    </font>
    <font>
      <sz val="12"/>
      <color rgb="FF0070C0"/>
      <name val="Times New Roman"/>
      <family val="1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theme="8"/>
      <name val="Times New Roman"/>
      <family val="1"/>
    </font>
    <font>
      <sz val="12"/>
      <color theme="8"/>
      <name val="宋体"/>
      <family val="2"/>
      <scheme val="minor"/>
    </font>
    <font>
      <sz val="11"/>
      <color theme="1"/>
      <name val="宋体"/>
      <family val="3"/>
      <charset val="134"/>
    </font>
    <font>
      <sz val="11"/>
      <color rgb="FFFFC000"/>
      <name val="Times New Roman"/>
      <family val="1"/>
    </font>
    <font>
      <vertAlign val="subscript"/>
      <sz val="11"/>
      <color theme="1"/>
      <name val="Times New Roman"/>
      <family val="1"/>
    </font>
    <font>
      <sz val="12"/>
      <color rgb="FFFF0000"/>
      <name val="宋体"/>
      <family val="2"/>
      <scheme val="minor"/>
    </font>
    <font>
      <sz val="11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Border="1"/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9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1" fillId="0" borderId="11" xfId="0" applyFont="1" applyFill="1" applyBorder="1"/>
    <xf numFmtId="14" fontId="1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8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3" xfId="0" applyFont="1" applyBorder="1"/>
    <xf numFmtId="0" fontId="11" fillId="0" borderId="9" xfId="0" applyFont="1" applyBorder="1"/>
    <xf numFmtId="0" fontId="11" fillId="0" borderId="11" xfId="0" applyFont="1" applyBorder="1"/>
    <xf numFmtId="0" fontId="11" fillId="0" borderId="2" xfId="0" applyFont="1" applyBorder="1"/>
    <xf numFmtId="0" fontId="11" fillId="0" borderId="4" xfId="0" applyFont="1" applyBorder="1"/>
    <xf numFmtId="0" fontId="11" fillId="0" borderId="10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3" borderId="0" xfId="0" applyFill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/>
    <xf numFmtId="0" fontId="4" fillId="0" borderId="5" xfId="0" applyFont="1" applyBorder="1"/>
    <xf numFmtId="0" fontId="4" fillId="0" borderId="7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" fillId="2" borderId="1" xfId="0" applyFont="1" applyFill="1" applyBorder="1"/>
    <xf numFmtId="0" fontId="10" fillId="2" borderId="3" xfId="0" applyFont="1" applyFill="1" applyBorder="1" applyAlignment="1">
      <alignment horizontal="center"/>
    </xf>
    <xf numFmtId="0" fontId="1" fillId="2" borderId="0" xfId="0" applyFont="1" applyFill="1"/>
    <xf numFmtId="0" fontId="1" fillId="0" borderId="21" xfId="0" applyFont="1" applyBorder="1"/>
    <xf numFmtId="0" fontId="1" fillId="0" borderId="20" xfId="0" applyFont="1" applyBorder="1"/>
    <xf numFmtId="2" fontId="1" fillId="0" borderId="13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9" fillId="0" borderId="4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9" fillId="0" borderId="4" xfId="0" applyFont="1" applyBorder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1" fillId="0" borderId="13" xfId="0" applyNumberFormat="1" applyFont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176" fontId="1" fillId="0" borderId="10" xfId="0" applyNumberFormat="1" applyFont="1" applyBorder="1" applyAlignment="1">
      <alignment horizontal="center"/>
    </xf>
    <xf numFmtId="176" fontId="1" fillId="0" borderId="5" xfId="0" applyNumberFormat="1" applyFont="1" applyBorder="1" applyAlignment="1">
      <alignment horizontal="center"/>
    </xf>
    <xf numFmtId="176" fontId="1" fillId="0" borderId="15" xfId="0" applyNumberFormat="1" applyFont="1" applyBorder="1" applyAlignment="1">
      <alignment horizontal="center"/>
    </xf>
    <xf numFmtId="177" fontId="1" fillId="0" borderId="13" xfId="0" applyNumberFormat="1" applyFont="1" applyBorder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177" fontId="1" fillId="0" borderId="5" xfId="0" applyNumberFormat="1" applyFont="1" applyBorder="1" applyAlignment="1">
      <alignment horizontal="center"/>
    </xf>
    <xf numFmtId="177" fontId="1" fillId="0" borderId="10" xfId="0" applyNumberFormat="1" applyFont="1" applyBorder="1" applyAlignment="1">
      <alignment horizontal="center"/>
    </xf>
    <xf numFmtId="177" fontId="1" fillId="0" borderId="15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a)</a:t>
            </a:r>
          </a:p>
        </c:rich>
      </c:tx>
      <c:layout>
        <c:manualLayout>
          <c:xMode val="edge"/>
          <c:yMode val="edge"/>
          <c:x val="8.996390741677175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58392930241519"/>
          <c:y val="5.9505138077252537E-2"/>
          <c:w val="0.82504060081174857"/>
          <c:h val="0.78470221710091115"/>
        </c:manualLayout>
      </c:layout>
      <c:scatterChart>
        <c:scatterStyle val="lineMarker"/>
        <c:varyColors val="0"/>
        <c:ser>
          <c:idx val="3"/>
          <c:order val="0"/>
          <c:tx>
            <c:v>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7.6419824433260827E-2"/>
                  <c:y val="0.191164747699220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Sand!$V$8:$V$14</c:f>
                <c:numCache>
                  <c:formatCode>General</c:formatCode>
                  <c:ptCount val="7"/>
                  <c:pt idx="0">
                    <c:v>2.8585958446509479E-3</c:v>
                  </c:pt>
                  <c:pt idx="1">
                    <c:v>1.0325118595779533E-2</c:v>
                  </c:pt>
                  <c:pt idx="2">
                    <c:v>1.5320474962173859E-2</c:v>
                  </c:pt>
                  <c:pt idx="3">
                    <c:v>0.17612879950033727</c:v>
                  </c:pt>
                  <c:pt idx="4">
                    <c:v>0.14497577796197525</c:v>
                  </c:pt>
                  <c:pt idx="5">
                    <c:v>7.5438772097373583E-2</c:v>
                  </c:pt>
                  <c:pt idx="6">
                    <c:v>0.11223184453401638</c:v>
                  </c:pt>
                </c:numCache>
              </c:numRef>
            </c:plus>
            <c:minus>
              <c:numRef>
                <c:f>Sand!$V$8:$V$14</c:f>
                <c:numCache>
                  <c:formatCode>General</c:formatCode>
                  <c:ptCount val="7"/>
                  <c:pt idx="0">
                    <c:v>2.8585958446509479E-3</c:v>
                  </c:pt>
                  <c:pt idx="1">
                    <c:v>1.0325118595779533E-2</c:v>
                  </c:pt>
                  <c:pt idx="2">
                    <c:v>1.5320474962173859E-2</c:v>
                  </c:pt>
                  <c:pt idx="3">
                    <c:v>0.17612879950033727</c:v>
                  </c:pt>
                  <c:pt idx="4">
                    <c:v>0.14497577796197525</c:v>
                  </c:pt>
                  <c:pt idx="5">
                    <c:v>7.5438772097373583E-2</c:v>
                  </c:pt>
                  <c:pt idx="6">
                    <c:v>0.11223184453401638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Sand!$T$8:$T$14</c:f>
              <c:numCache>
                <c:formatCode>General</c:formatCode>
                <c:ptCount val="7"/>
                <c:pt idx="0">
                  <c:v>0</c:v>
                </c:pt>
                <c:pt idx="1">
                  <c:v>2.5999999999999999E-2</c:v>
                </c:pt>
                <c:pt idx="2">
                  <c:v>5.1999999999999998E-2</c:v>
                </c:pt>
                <c:pt idx="3">
                  <c:v>0.1353</c:v>
                </c:pt>
                <c:pt idx="4">
                  <c:v>0.2596</c:v>
                </c:pt>
                <c:pt idx="5">
                  <c:v>0.39060000000000006</c:v>
                </c:pt>
                <c:pt idx="6">
                  <c:v>0.54600000000000004</c:v>
                </c:pt>
              </c:numCache>
            </c:numRef>
          </c:xVal>
          <c:yVal>
            <c:numRef>
              <c:f>Sand!$U$8:$U$14</c:f>
              <c:numCache>
                <c:formatCode>General</c:formatCode>
                <c:ptCount val="7"/>
                <c:pt idx="0">
                  <c:v>3.8029634359999995E-3</c:v>
                </c:pt>
                <c:pt idx="1">
                  <c:v>0.4682299572370236</c:v>
                </c:pt>
                <c:pt idx="2">
                  <c:v>0.67798786333333305</c:v>
                </c:pt>
                <c:pt idx="3">
                  <c:v>3.4192555504327409</c:v>
                </c:pt>
                <c:pt idx="4">
                  <c:v>6.334559053255675</c:v>
                </c:pt>
                <c:pt idx="5">
                  <c:v>8.7384798172203428</c:v>
                </c:pt>
                <c:pt idx="6">
                  <c:v>11.53830105294591</c:v>
                </c:pt>
              </c:numCache>
            </c:numRef>
          </c:yVal>
          <c:smooth val="0"/>
        </c:ser>
        <c:ser>
          <c:idx val="4"/>
          <c:order val="1"/>
          <c:tx>
            <c:v>MWCNT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0063718319795006"/>
                  <c:y val="8.70260648112055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Sand!$F$8:$F$16</c:f>
                <c:numCache>
                  <c:formatCode>General</c:formatCode>
                  <c:ptCount val="9"/>
                  <c:pt idx="0">
                    <c:v>2.8585958446509479E-3</c:v>
                  </c:pt>
                  <c:pt idx="1">
                    <c:v>2.9335726248825911E-2</c:v>
                  </c:pt>
                  <c:pt idx="2">
                    <c:v>3.9988817479351416E-2</c:v>
                  </c:pt>
                  <c:pt idx="3">
                    <c:v>4.7911881740207572E-2</c:v>
                  </c:pt>
                  <c:pt idx="4">
                    <c:v>5.6908584251111505E-2</c:v>
                  </c:pt>
                  <c:pt idx="5">
                    <c:v>0.13314758747396502</c:v>
                  </c:pt>
                  <c:pt idx="6">
                    <c:v>0.18343471061260244</c:v>
                  </c:pt>
                  <c:pt idx="7">
                    <c:v>0.10517663516678724</c:v>
                  </c:pt>
                  <c:pt idx="8">
                    <c:v>1.0944052030679012</c:v>
                  </c:pt>
                </c:numCache>
              </c:numRef>
            </c:plus>
            <c:minus>
              <c:numRef>
                <c:f>Sand!$F$8:$F$16</c:f>
                <c:numCache>
                  <c:formatCode>General</c:formatCode>
                  <c:ptCount val="9"/>
                  <c:pt idx="0">
                    <c:v>2.8585958446509479E-3</c:v>
                  </c:pt>
                  <c:pt idx="1">
                    <c:v>2.9335726248825911E-2</c:v>
                  </c:pt>
                  <c:pt idx="2">
                    <c:v>3.9988817479351416E-2</c:v>
                  </c:pt>
                  <c:pt idx="3">
                    <c:v>4.7911881740207572E-2</c:v>
                  </c:pt>
                  <c:pt idx="4">
                    <c:v>5.6908584251111505E-2</c:v>
                  </c:pt>
                  <c:pt idx="5">
                    <c:v>0.13314758747396502</c:v>
                  </c:pt>
                  <c:pt idx="6">
                    <c:v>0.18343471061260244</c:v>
                  </c:pt>
                  <c:pt idx="7">
                    <c:v>0.10517663516678724</c:v>
                  </c:pt>
                  <c:pt idx="8">
                    <c:v>1.0944052030679012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0070C0"/>
                </a:solidFill>
                <a:round/>
              </a:ln>
              <a:effectLst/>
            </c:spPr>
          </c:errBars>
          <c:xVal>
            <c:numRef>
              <c:f>Sand!$D$8:$D$16</c:f>
              <c:numCache>
                <c:formatCode>General</c:formatCode>
                <c:ptCount val="9"/>
                <c:pt idx="0">
                  <c:v>0</c:v>
                </c:pt>
                <c:pt idx="1">
                  <c:v>8.5630407616780731E-4</c:v>
                </c:pt>
                <c:pt idx="2">
                  <c:v>7.0559999999999998E-2</c:v>
                </c:pt>
                <c:pt idx="3">
                  <c:v>5.2000000000000005E-2</c:v>
                </c:pt>
                <c:pt idx="4">
                  <c:v>2.7459999999999998E-2</c:v>
                </c:pt>
                <c:pt idx="5">
                  <c:v>0.1148</c:v>
                </c:pt>
                <c:pt idx="6">
                  <c:v>0.26200000000000001</c:v>
                </c:pt>
                <c:pt idx="7">
                  <c:v>0.40674937965260549</c:v>
                </c:pt>
                <c:pt idx="8">
                  <c:v>0.51200000000000001</c:v>
                </c:pt>
              </c:numCache>
            </c:numRef>
          </c:xVal>
          <c:yVal>
            <c:numRef>
              <c:f>Sand!$E$8:$E$16</c:f>
              <c:numCache>
                <c:formatCode>General</c:formatCode>
                <c:ptCount val="9"/>
                <c:pt idx="0">
                  <c:v>3.8029634359999995E-3</c:v>
                </c:pt>
                <c:pt idx="1">
                  <c:v>0.34682415897678287</c:v>
                </c:pt>
                <c:pt idx="2">
                  <c:v>1.7015093866666671</c:v>
                </c:pt>
                <c:pt idx="3">
                  <c:v>1.3074747989272524</c:v>
                </c:pt>
                <c:pt idx="4">
                  <c:v>0.77714165710260019</c:v>
                </c:pt>
                <c:pt idx="5">
                  <c:v>3.3516067290451872</c:v>
                </c:pt>
                <c:pt idx="6">
                  <c:v>8.6308201423408786</c:v>
                </c:pt>
                <c:pt idx="7">
                  <c:v>11.838839258579926</c:v>
                </c:pt>
                <c:pt idx="8">
                  <c:v>14.854117888168764</c:v>
                </c:pt>
              </c:numCache>
            </c:numRef>
          </c:yVal>
          <c:smooth val="0"/>
        </c:ser>
        <c:ser>
          <c:idx val="5"/>
          <c:order val="2"/>
          <c:tx>
            <c:v>MWCNT-COOH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5.3595078138168509E-2"/>
                  <c:y val="0.226101310506918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Sand!$N$8:$N$13</c:f>
                <c:numCache>
                  <c:formatCode>General</c:formatCode>
                  <c:ptCount val="6"/>
                  <c:pt idx="0">
                    <c:v>2.8585958446509479E-3</c:v>
                  </c:pt>
                  <c:pt idx="1">
                    <c:v>6.7042417562351332E-3</c:v>
                  </c:pt>
                  <c:pt idx="2">
                    <c:v>2.3076909776046883E-2</c:v>
                  </c:pt>
                  <c:pt idx="3">
                    <c:v>0.21597318551851333</c:v>
                  </c:pt>
                  <c:pt idx="4">
                    <c:v>9.0135502663119177E-2</c:v>
                  </c:pt>
                  <c:pt idx="5">
                    <c:v>5.5689449840741763E-2</c:v>
                  </c:pt>
                </c:numCache>
              </c:numRef>
            </c:plus>
            <c:minus>
              <c:numRef>
                <c:f>Sand!$N$8:$N$13</c:f>
                <c:numCache>
                  <c:formatCode>General</c:formatCode>
                  <c:ptCount val="6"/>
                  <c:pt idx="0">
                    <c:v>2.8585958446509479E-3</c:v>
                  </c:pt>
                  <c:pt idx="1">
                    <c:v>6.7042417562351332E-3</c:v>
                  </c:pt>
                  <c:pt idx="2">
                    <c:v>2.3076909776046883E-2</c:v>
                  </c:pt>
                  <c:pt idx="3">
                    <c:v>0.21597318551851333</c:v>
                  </c:pt>
                  <c:pt idx="4">
                    <c:v>9.0135502663119177E-2</c:v>
                  </c:pt>
                  <c:pt idx="5">
                    <c:v>5.5689449840741763E-2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70AD47"/>
                </a:solidFill>
                <a:round/>
              </a:ln>
              <a:effectLst/>
            </c:spPr>
          </c:errBars>
          <c:xVal>
            <c:numRef>
              <c:f>Sand!$L$8:$L$13</c:f>
              <c:numCache>
                <c:formatCode>General</c:formatCode>
                <c:ptCount val="6"/>
                <c:pt idx="0">
                  <c:v>0</c:v>
                </c:pt>
                <c:pt idx="1">
                  <c:v>6.9550000000000001E-2</c:v>
                </c:pt>
                <c:pt idx="2">
                  <c:v>0.13</c:v>
                </c:pt>
                <c:pt idx="3">
                  <c:v>0.25740000000000002</c:v>
                </c:pt>
                <c:pt idx="4">
                  <c:v>0.38480000000000003</c:v>
                </c:pt>
                <c:pt idx="5">
                  <c:v>0.504</c:v>
                </c:pt>
              </c:numCache>
            </c:numRef>
          </c:xVal>
          <c:yVal>
            <c:numRef>
              <c:f>Sand!$M$8:$M$13</c:f>
              <c:numCache>
                <c:formatCode>General</c:formatCode>
                <c:ptCount val="6"/>
                <c:pt idx="0">
                  <c:v>3.8029634359999995E-3</c:v>
                </c:pt>
                <c:pt idx="1">
                  <c:v>0.34793496666666596</c:v>
                </c:pt>
                <c:pt idx="2">
                  <c:v>1.3831871290799651</c:v>
                </c:pt>
                <c:pt idx="3">
                  <c:v>3.5714077096704515</c:v>
                </c:pt>
                <c:pt idx="4">
                  <c:v>5.4908870636666656</c:v>
                </c:pt>
                <c:pt idx="5">
                  <c:v>6.6032941433414649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599648"/>
        <c:axId val="316857224"/>
        <c:extLst/>
      </c:scatterChart>
      <c:valAx>
        <c:axId val="247599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CNTs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6857224"/>
        <c:crosses val="autoZero"/>
        <c:crossBetween val="midCat"/>
      </c:valAx>
      <c:valAx>
        <c:axId val="31685722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759964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400152771423446"/>
          <c:y val="7.9981999201319334E-2"/>
          <c:w val="0.3506642598528939"/>
          <c:h val="0.19071541799849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c)</a:t>
            </a:r>
          </a:p>
        </c:rich>
      </c:tx>
      <c:layout>
        <c:manualLayout>
          <c:xMode val="edge"/>
          <c:yMode val="edge"/>
          <c:x val="3.573473422855790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75161854768154"/>
          <c:y val="5.0925925925925923E-2"/>
          <c:w val="0.82942825896762906"/>
          <c:h val="0.80010644502770489"/>
        </c:manualLayout>
      </c:layout>
      <c:scatterChart>
        <c:scatterStyle val="lineMarker"/>
        <c:varyColors val="0"/>
        <c:ser>
          <c:idx val="0"/>
          <c:order val="0"/>
          <c:tx>
            <c:strRef>
              <c:f>[2]HA!$V$2</c:f>
              <c:strCache>
                <c:ptCount val="1"/>
                <c:pt idx="0">
                  <c:v>MWCNT+Soil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[2]HA!$U$78:$U$80</c:f>
                <c:numCache>
                  <c:formatCode>General</c:formatCode>
                  <c:ptCount val="3"/>
                  <c:pt idx="0">
                    <c:v>0.36470197551671579</c:v>
                  </c:pt>
                  <c:pt idx="1">
                    <c:v>0.11346723314598318</c:v>
                  </c:pt>
                  <c:pt idx="2">
                    <c:v>0.10389915208664501</c:v>
                  </c:pt>
                </c:numCache>
              </c:numRef>
            </c:plus>
            <c:minus>
              <c:numRef>
                <c:f>[2]HA!$U$78:$U$80</c:f>
                <c:numCache>
                  <c:formatCode>General</c:formatCode>
                  <c:ptCount val="3"/>
                  <c:pt idx="0">
                    <c:v>0.36470197551671579</c:v>
                  </c:pt>
                  <c:pt idx="1">
                    <c:v>0.11346723314598318</c:v>
                  </c:pt>
                  <c:pt idx="2">
                    <c:v>0.10389915208664501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[2]HA!$Q$78:$Q$80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3.601</c:v>
                </c:pt>
                <c:pt idx="2">
                  <c:v>7.75</c:v>
                </c:pt>
              </c:numCache>
            </c:numRef>
          </c:xVal>
          <c:yVal>
            <c:numRef>
              <c:f>[2]HA!$T$78:$T$80</c:f>
              <c:numCache>
                <c:formatCode>General</c:formatCode>
                <c:ptCount val="3"/>
                <c:pt idx="0">
                  <c:v>5.70267473</c:v>
                </c:pt>
                <c:pt idx="1">
                  <c:v>6.0444235699999975</c:v>
                </c:pt>
                <c:pt idx="2">
                  <c:v>6.2071315250000012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[2]HA!$X$2</c:f>
              <c:strCache>
                <c:ptCount val="1"/>
                <c:pt idx="0">
                  <c:v>SWCNT+Soil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[2]HA!$W$78:$W$80</c:f>
                <c:numCache>
                  <c:formatCode>General</c:formatCode>
                  <c:ptCount val="3"/>
                  <c:pt idx="0">
                    <c:v>2.8376849909894752E-2</c:v>
                  </c:pt>
                  <c:pt idx="1">
                    <c:v>3.9678391929602513E-2</c:v>
                  </c:pt>
                  <c:pt idx="2">
                    <c:v>0.12545273551350147</c:v>
                  </c:pt>
                </c:numCache>
              </c:numRef>
            </c:plus>
            <c:minus>
              <c:numRef>
                <c:f>[2]HA!$W$78:$W$80</c:f>
                <c:numCache>
                  <c:formatCode>General</c:formatCode>
                  <c:ptCount val="3"/>
                  <c:pt idx="0">
                    <c:v>2.8376849909894752E-2</c:v>
                  </c:pt>
                  <c:pt idx="1">
                    <c:v>3.9678391929602513E-2</c:v>
                  </c:pt>
                  <c:pt idx="2">
                    <c:v>0.12545273551350147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[2]HA!$Q$78:$Q$80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3.601</c:v>
                </c:pt>
                <c:pt idx="2">
                  <c:v>7.75</c:v>
                </c:pt>
              </c:numCache>
            </c:numRef>
          </c:xVal>
          <c:yVal>
            <c:numRef>
              <c:f>[2]HA!$V$78:$V$80</c:f>
              <c:numCache>
                <c:formatCode>General</c:formatCode>
                <c:ptCount val="3"/>
                <c:pt idx="0">
                  <c:v>4.4045430100000011</c:v>
                </c:pt>
                <c:pt idx="1">
                  <c:v>4.9830565699999987</c:v>
                </c:pt>
                <c:pt idx="2">
                  <c:v>5.1935672099999994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[2]HA!$Z$2</c:f>
              <c:strCache>
                <c:ptCount val="1"/>
                <c:pt idx="0">
                  <c:v>MWCNT-COOH+Soil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[2]HA!$Y$78:$Y$80</c:f>
                <c:numCache>
                  <c:formatCode>General</c:formatCode>
                  <c:ptCount val="3"/>
                  <c:pt idx="0">
                    <c:v>0.10016396658104371</c:v>
                  </c:pt>
                  <c:pt idx="1">
                    <c:v>6.0578262208325455E-3</c:v>
                  </c:pt>
                  <c:pt idx="2">
                    <c:v>8.8852499610557384E-2</c:v>
                  </c:pt>
                </c:numCache>
              </c:numRef>
            </c:plus>
            <c:minus>
              <c:numRef>
                <c:f>[2]HA!$Y$78:$Y$80</c:f>
                <c:numCache>
                  <c:formatCode>General</c:formatCode>
                  <c:ptCount val="3"/>
                  <c:pt idx="0">
                    <c:v>0.10016396658104371</c:v>
                  </c:pt>
                  <c:pt idx="1">
                    <c:v>6.0578262208325455E-3</c:v>
                  </c:pt>
                  <c:pt idx="2">
                    <c:v>8.8852499610557384E-2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[2]HA!$Q$78:$Q$80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3.601</c:v>
                </c:pt>
                <c:pt idx="2">
                  <c:v>7.75</c:v>
                </c:pt>
              </c:numCache>
            </c:numRef>
          </c:xVal>
          <c:yVal>
            <c:numRef>
              <c:f>[2]HA!$X$78:$X$80</c:f>
              <c:numCache>
                <c:formatCode>General</c:formatCode>
                <c:ptCount val="3"/>
                <c:pt idx="0">
                  <c:v>3.8816805686949798</c:v>
                </c:pt>
                <c:pt idx="1">
                  <c:v>4.2914601289999998</c:v>
                </c:pt>
                <c:pt idx="2">
                  <c:v>4.7017252450000004</c:v>
                </c:pt>
              </c:numCache>
            </c:numRef>
          </c:yVal>
          <c:smooth val="0"/>
        </c:ser>
        <c:ser>
          <c:idx val="3"/>
          <c:order val="3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[2]HA!$S$78:$S$80</c:f>
                <c:numCache>
                  <c:formatCode>General</c:formatCode>
                  <c:ptCount val="3"/>
                  <c:pt idx="0">
                    <c:v>9.2486616656467999E-2</c:v>
                  </c:pt>
                  <c:pt idx="1">
                    <c:v>9.2905033719790295E-2</c:v>
                  </c:pt>
                  <c:pt idx="2">
                    <c:v>8.3834579977673973E-4</c:v>
                  </c:pt>
                </c:numCache>
              </c:numRef>
            </c:plus>
            <c:minus>
              <c:numRef>
                <c:f>[2]HA!$S$78:$S$80</c:f>
                <c:numCache>
                  <c:formatCode>General</c:formatCode>
                  <c:ptCount val="3"/>
                  <c:pt idx="0">
                    <c:v>9.2486616656467999E-2</c:v>
                  </c:pt>
                  <c:pt idx="1">
                    <c:v>9.2905033719790295E-2</c:v>
                  </c:pt>
                  <c:pt idx="2">
                    <c:v>8.3834579977673973E-4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[2]HA!$Q$78:$Q$80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3.601</c:v>
                </c:pt>
                <c:pt idx="2">
                  <c:v>7.75</c:v>
                </c:pt>
              </c:numCache>
            </c:numRef>
          </c:xVal>
          <c:yVal>
            <c:numRef>
              <c:f>[2]HA!$R$78:$R$80</c:f>
              <c:numCache>
                <c:formatCode>General</c:formatCode>
                <c:ptCount val="3"/>
                <c:pt idx="0">
                  <c:v>3.4112485290620818</c:v>
                </c:pt>
                <c:pt idx="1">
                  <c:v>3.7472697345775288</c:v>
                </c:pt>
                <c:pt idx="2">
                  <c:v>4.0472697345775259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532200"/>
        <c:axId val="250383720"/>
      </c:scatterChart>
      <c:valAx>
        <c:axId val="248532200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Organic Carbon Content (mg/100mgsoil)</a:t>
                </a:r>
              </a:p>
            </c:rich>
          </c:tx>
          <c:layout>
            <c:manualLayout>
              <c:xMode val="edge"/>
              <c:yMode val="edge"/>
              <c:x val="0.22396364254162418"/>
              <c:y val="0.93370340902509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383720"/>
        <c:crosses val="autoZero"/>
        <c:crossBetween val="midCat"/>
      </c:valAx>
      <c:valAx>
        <c:axId val="250383720"/>
        <c:scaling>
          <c:orientation val="minMax"/>
          <c:max val="6.5"/>
          <c:min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</a:t>
                </a:r>
                <a:r>
                  <a:rPr lang="el-GR"/>
                  <a:t>Δ</a:t>
                </a:r>
                <a:r>
                  <a:rPr lang="en-US"/>
                  <a:t>T (°C)</a:t>
                </a:r>
              </a:p>
            </c:rich>
          </c:tx>
          <c:layout>
            <c:manualLayout>
              <c:xMode val="edge"/>
              <c:yMode val="edge"/>
              <c:x val="3.9246336562669725E-3"/>
              <c:y val="0.41158422270386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32200"/>
        <c:crosses val="autoZero"/>
        <c:crossBetween val="midCat"/>
        <c:maj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8874681949160026"/>
          <c:y val="0.57787517413981793"/>
          <c:w val="0.44051746971995476"/>
          <c:h val="0.19467612280172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d)</a:t>
            </a:r>
          </a:p>
        </c:rich>
      </c:tx>
      <c:layout>
        <c:manualLayout>
          <c:xMode val="edge"/>
          <c:yMode val="edge"/>
          <c:x val="1.0287322647360142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56566361926472"/>
          <c:y val="5.9993263037242305E-2"/>
          <c:w val="0.79969653067066926"/>
          <c:h val="0.77972379976893136"/>
        </c:manualLayout>
      </c:layout>
      <c:scatterChart>
        <c:scatterStyle val="lineMarker"/>
        <c:varyColors val="0"/>
        <c:ser>
          <c:idx val="0"/>
          <c:order val="0"/>
          <c:tx>
            <c:strRef>
              <c:f>[2]HA!$V$2</c:f>
              <c:strCache>
                <c:ptCount val="1"/>
                <c:pt idx="0">
                  <c:v>MWCNT+Soil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[2]HA!$Q$78:$Q$80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3.601</c:v>
                </c:pt>
                <c:pt idx="2">
                  <c:v>7.75</c:v>
                </c:pt>
              </c:numCache>
            </c:numRef>
          </c:xVal>
          <c:yVal>
            <c:numRef>
              <c:f>[2]HA!$T$81:$T$83</c:f>
              <c:numCache>
                <c:formatCode>General</c:formatCode>
                <c:ptCount val="3"/>
                <c:pt idx="0">
                  <c:v>2.2914262009379183</c:v>
                </c:pt>
                <c:pt idx="1">
                  <c:v>2.2971538354224688</c:v>
                </c:pt>
                <c:pt idx="2">
                  <c:v>2.1598617904224753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[2]HA!$X$2</c:f>
              <c:strCache>
                <c:ptCount val="1"/>
                <c:pt idx="0">
                  <c:v>SWCNT+Soil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[2]HA!$Q$78:$Q$80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3.601</c:v>
                </c:pt>
                <c:pt idx="2">
                  <c:v>7.75</c:v>
                </c:pt>
              </c:numCache>
            </c:numRef>
          </c:xVal>
          <c:yVal>
            <c:numRef>
              <c:f>[2]HA!$V$81:$V$83</c:f>
              <c:numCache>
                <c:formatCode>General</c:formatCode>
                <c:ptCount val="3"/>
                <c:pt idx="0">
                  <c:v>0.99329448093791939</c:v>
                </c:pt>
                <c:pt idx="1">
                  <c:v>1.2357868354224699</c:v>
                </c:pt>
                <c:pt idx="2">
                  <c:v>1.1462974754224735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[2]HA!$Z$2</c:f>
              <c:strCache>
                <c:ptCount val="1"/>
                <c:pt idx="0">
                  <c:v>MWCNT-COOH+Soil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[2]HA!$Q$78:$Q$80</c:f>
              <c:numCache>
                <c:formatCode>General</c:formatCode>
                <c:ptCount val="3"/>
                <c:pt idx="0">
                  <c:v>1.1499999999999999</c:v>
                </c:pt>
                <c:pt idx="1">
                  <c:v>3.601</c:v>
                </c:pt>
                <c:pt idx="2">
                  <c:v>7.75</c:v>
                </c:pt>
              </c:numCache>
            </c:numRef>
          </c:xVal>
          <c:yVal>
            <c:numRef>
              <c:f>[2]HA!$X$81:$X$83</c:f>
              <c:numCache>
                <c:formatCode>General</c:formatCode>
                <c:ptCount val="3"/>
                <c:pt idx="0">
                  <c:v>0.47043203963289804</c:v>
                </c:pt>
                <c:pt idx="1">
                  <c:v>0.54419039442247108</c:v>
                </c:pt>
                <c:pt idx="2">
                  <c:v>0.65445551042247452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860360"/>
        <c:axId val="25076593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Soil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[2]HA!$M$3:$M$7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2.4866166564680849E-2</c:v>
                        </c:pt>
                        <c:pt idx="1">
                          <c:v>9.2905033719790295E-2</c:v>
                        </c:pt>
                        <c:pt idx="2">
                          <c:v>5.1029874072841389E-2</c:v>
                        </c:pt>
                        <c:pt idx="3">
                          <c:v>2.8935990354478986E-2</c:v>
                        </c:pt>
                        <c:pt idx="4">
                          <c:v>8.3834579977673973E-4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[2]HA!$M$3:$M$7</c15:sqref>
                          </c15:formulaRef>
                        </c:ext>
                      </c:extLst>
                      <c:numCache>
                        <c:formatCode>General</c:formatCode>
                        <c:ptCount val="5"/>
                        <c:pt idx="0">
                          <c:v>2.4866166564680849E-2</c:v>
                        </c:pt>
                        <c:pt idx="1">
                          <c:v>9.2905033719790295E-2</c:v>
                        </c:pt>
                        <c:pt idx="2">
                          <c:v>5.1029874072841389E-2</c:v>
                        </c:pt>
                        <c:pt idx="3">
                          <c:v>2.8935990354478986E-2</c:v>
                        </c:pt>
                        <c:pt idx="4">
                          <c:v>8.3834579977673973E-4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>
                      <c:ext uri="{02D57815-91ED-43cb-92C2-25804820EDAC}">
                        <c15:formulaRef>
                          <c15:sqref>[2]HA!$Q$78:$Q$80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1.1499999999999999</c:v>
                      </c:pt>
                      <c:pt idx="1">
                        <c:v>3.601</c:v>
                      </c:pt>
                      <c:pt idx="2">
                        <c:v>7.75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[2]HA!$R$78:$R$80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3.4112485290620818</c:v>
                      </c:pt>
                      <c:pt idx="1">
                        <c:v>3.7472697345775288</c:v>
                      </c:pt>
                      <c:pt idx="2">
                        <c:v>4.0472697345775259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16860360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Organic Carbon Content (mg/100mgsoil)</a:t>
                </a:r>
              </a:p>
            </c:rich>
          </c:tx>
          <c:layout>
            <c:manualLayout>
              <c:xMode val="edge"/>
              <c:yMode val="edge"/>
              <c:x val="0.20981991165477404"/>
              <c:y val="0.92154524891705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765936"/>
        <c:crosses val="autoZero"/>
        <c:crossBetween val="midCat"/>
      </c:valAx>
      <c:valAx>
        <c:axId val="250765936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Subtracted </a:t>
                </a:r>
                <a:r>
                  <a:rPr lang="el-GR"/>
                  <a:t>Δ</a:t>
                </a:r>
                <a:r>
                  <a:rPr lang="en-US"/>
                  <a:t>T (°C)</a:t>
                </a:r>
              </a:p>
            </c:rich>
          </c:tx>
          <c:layout>
            <c:manualLayout>
              <c:xMode val="edge"/>
              <c:yMode val="edge"/>
              <c:x val="3.9246336562669725E-3"/>
              <c:y val="0.28092220179794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6860360"/>
        <c:crosses val="autoZero"/>
        <c:crossBetween val="midCat"/>
        <c:maj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8273254833971443"/>
          <c:y val="6.0427659957139501E-2"/>
          <c:w val="0.54291545934434038"/>
          <c:h val="0.15398265765559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c)</a:t>
            </a:r>
            <a:endParaRPr lang="zh-CN" sz="1050"/>
          </a:p>
        </c:rich>
      </c:tx>
      <c:layout>
        <c:manualLayout>
          <c:xMode val="edge"/>
          <c:yMode val="edge"/>
          <c:x val="9.55490273195955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8223063026209"/>
          <c:y val="7.1360744541078713E-2"/>
          <c:w val="0.83264001090772743"/>
          <c:h val="0.76437129809993265"/>
        </c:manualLayout>
      </c:layout>
      <c:scatterChart>
        <c:scatterStyle val="lineMarker"/>
        <c:varyColors val="0"/>
        <c:ser>
          <c:idx val="1"/>
          <c:order val="0"/>
          <c:tx>
            <c:v>SWCNT+Soil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carbon'!$T$65:$T$68</c:f>
                <c:numCache>
                  <c:formatCode>General</c:formatCode>
                  <c:ptCount val="4"/>
                  <c:pt idx="0">
                    <c:v>1.3873E-2</c:v>
                  </c:pt>
                  <c:pt idx="1">
                    <c:v>5.6407859549968853E-2</c:v>
                  </c:pt>
                  <c:pt idx="2">
                    <c:v>5.6407859549968853E-2</c:v>
                  </c:pt>
                  <c:pt idx="3">
                    <c:v>2.348887104735083E-2</c:v>
                  </c:pt>
                </c:numCache>
              </c:numRef>
            </c:plus>
            <c:minus>
              <c:numRef>
                <c:f>'[2]Other carbon'!$T$65:$T$68</c:f>
                <c:numCache>
                  <c:formatCode>General</c:formatCode>
                  <c:ptCount val="4"/>
                  <c:pt idx="0">
                    <c:v>1.3873E-2</c:v>
                  </c:pt>
                  <c:pt idx="1">
                    <c:v>5.6407859549968853E-2</c:v>
                  </c:pt>
                  <c:pt idx="2">
                    <c:v>5.6407859549968853E-2</c:v>
                  </c:pt>
                  <c:pt idx="3">
                    <c:v>2.348887104735083E-2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'[2]Other carbon'!$N$65:$N$68</c:f>
              <c:numCache>
                <c:formatCode>General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33</c:v>
                </c:pt>
                <c:pt idx="3">
                  <c:v>67</c:v>
                </c:pt>
              </c:numCache>
            </c:numRef>
          </c:xVal>
          <c:yVal>
            <c:numRef>
              <c:f>'[2]Other carbon'!$R$65:$R$68</c:f>
              <c:numCache>
                <c:formatCode>General</c:formatCode>
                <c:ptCount val="4"/>
                <c:pt idx="0">
                  <c:v>3.1195788430000002</c:v>
                </c:pt>
                <c:pt idx="1">
                  <c:v>3.1516969550000002</c:v>
                </c:pt>
                <c:pt idx="2">
                  <c:v>3.244439439999999</c:v>
                </c:pt>
                <c:pt idx="3">
                  <c:v>3.0837022100000002</c:v>
                </c:pt>
              </c:numCache>
            </c:numRef>
          </c:yVal>
          <c:smooth val="0"/>
        </c:ser>
        <c:ser>
          <c:idx val="0"/>
          <c:order val="1"/>
          <c:tx>
            <c:v>MWCNT+Soil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carbon'!$Q$65:$Q$68</c:f>
                <c:numCache>
                  <c:formatCode>General</c:formatCode>
                  <c:ptCount val="4"/>
                  <c:pt idx="0">
                    <c:v>3.8191999999999997E-2</c:v>
                  </c:pt>
                  <c:pt idx="1">
                    <c:v>0.22123322694981734</c:v>
                  </c:pt>
                  <c:pt idx="2">
                    <c:v>1.3026957519122917E-2</c:v>
                  </c:pt>
                  <c:pt idx="3">
                    <c:v>7.0710678118655765E-2</c:v>
                  </c:pt>
                </c:numCache>
              </c:numRef>
            </c:plus>
            <c:minus>
              <c:numRef>
                <c:f>'[2]Other carbon'!$Q$65:$Q$68</c:f>
                <c:numCache>
                  <c:formatCode>General</c:formatCode>
                  <c:ptCount val="4"/>
                  <c:pt idx="0">
                    <c:v>3.8191999999999997E-2</c:v>
                  </c:pt>
                  <c:pt idx="1">
                    <c:v>0.22123322694981734</c:v>
                  </c:pt>
                  <c:pt idx="2">
                    <c:v>1.3026957519122917E-2</c:v>
                  </c:pt>
                  <c:pt idx="3">
                    <c:v>7.0710678118655765E-2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'[2]Other carbon'!$N$65:$N$68</c:f>
              <c:numCache>
                <c:formatCode>General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33</c:v>
                </c:pt>
                <c:pt idx="3">
                  <c:v>67</c:v>
                </c:pt>
              </c:numCache>
            </c:numRef>
          </c:xVal>
          <c:yVal>
            <c:numRef>
              <c:f>'[2]Other carbon'!$O$65:$O$68</c:f>
              <c:numCache>
                <c:formatCode>General</c:formatCode>
                <c:ptCount val="4"/>
                <c:pt idx="0">
                  <c:v>3.6368040575</c:v>
                </c:pt>
                <c:pt idx="1">
                  <c:v>3.6280357250000002</c:v>
                </c:pt>
                <c:pt idx="2">
                  <c:v>3.6043857099999994</c:v>
                </c:pt>
                <c:pt idx="3">
                  <c:v>3.5788410350000004</c:v>
                </c:pt>
              </c:numCache>
            </c:numRef>
          </c:yVal>
          <c:smooth val="0"/>
        </c:ser>
        <c:ser>
          <c:idx val="2"/>
          <c:order val="2"/>
          <c:tx>
            <c:v>MWCNT-COOH+Soil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carbon'!$W$65:$W$68</c:f>
                <c:numCache>
                  <c:formatCode>General</c:formatCode>
                  <c:ptCount val="4"/>
                  <c:pt idx="0">
                    <c:v>3.2813000000000002E-2</c:v>
                  </c:pt>
                  <c:pt idx="1">
                    <c:v>0.16520760104149118</c:v>
                  </c:pt>
                  <c:pt idx="2">
                    <c:v>0.10221403884533231</c:v>
                  </c:pt>
                  <c:pt idx="3">
                    <c:v>0.10015454791871965</c:v>
                  </c:pt>
                </c:numCache>
              </c:numRef>
            </c:plus>
            <c:minus>
              <c:numRef>
                <c:f>'[2]Other carbon'!$W$65:$W$68</c:f>
                <c:numCache>
                  <c:formatCode>General</c:formatCode>
                  <c:ptCount val="4"/>
                  <c:pt idx="0">
                    <c:v>3.2813000000000002E-2</c:v>
                  </c:pt>
                  <c:pt idx="1">
                    <c:v>0.16520760104149118</c:v>
                  </c:pt>
                  <c:pt idx="2">
                    <c:v>0.10221403884533231</c:v>
                  </c:pt>
                  <c:pt idx="3">
                    <c:v>0.10015454791871965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'[2]Other carbon'!$N$65:$N$68</c:f>
              <c:numCache>
                <c:formatCode>General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33</c:v>
                </c:pt>
                <c:pt idx="3">
                  <c:v>67</c:v>
                </c:pt>
              </c:numCache>
            </c:numRef>
          </c:xVal>
          <c:yVal>
            <c:numRef>
              <c:f>'[2]Other carbon'!$U$65:$U$68</c:f>
              <c:numCache>
                <c:formatCode>General</c:formatCode>
                <c:ptCount val="4"/>
                <c:pt idx="0">
                  <c:v>2.6560828700000001</c:v>
                </c:pt>
                <c:pt idx="1">
                  <c:v>2.733601675000001</c:v>
                </c:pt>
                <c:pt idx="2">
                  <c:v>2.5994983999999999</c:v>
                </c:pt>
                <c:pt idx="3">
                  <c:v>2.7070190599999986</c:v>
                </c:pt>
              </c:numCache>
            </c:numRef>
          </c:yVal>
          <c:smooth val="0"/>
        </c:ser>
        <c:ser>
          <c:idx val="3"/>
          <c:order val="3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carbon'!$L$65:$L$68</c:f>
                <c:numCache>
                  <c:formatCode>General</c:formatCode>
                  <c:ptCount val="4"/>
                  <c:pt idx="0">
                    <c:v>8.9747149999999998E-2</c:v>
                  </c:pt>
                  <c:pt idx="1">
                    <c:v>6.0368546000000002E-2</c:v>
                  </c:pt>
                  <c:pt idx="2">
                    <c:v>5.5487509999999997E-2</c:v>
                  </c:pt>
                  <c:pt idx="3">
                    <c:v>8.7954000000000004E-2</c:v>
                  </c:pt>
                </c:numCache>
              </c:numRef>
            </c:plus>
            <c:minus>
              <c:numRef>
                <c:f>'[2]Other carbon'!$L$65:$L$68</c:f>
                <c:numCache>
                  <c:formatCode>General</c:formatCode>
                  <c:ptCount val="4"/>
                  <c:pt idx="0">
                    <c:v>8.9747149999999998E-2</c:v>
                  </c:pt>
                  <c:pt idx="1">
                    <c:v>6.0368546000000002E-2</c:v>
                  </c:pt>
                  <c:pt idx="2">
                    <c:v>5.5487509999999997E-2</c:v>
                  </c:pt>
                  <c:pt idx="3">
                    <c:v>8.7954000000000004E-2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'[2]Other carbon'!$N$65:$N$68</c:f>
              <c:numCache>
                <c:formatCode>General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33</c:v>
                </c:pt>
                <c:pt idx="3">
                  <c:v>67</c:v>
                </c:pt>
              </c:numCache>
            </c:numRef>
          </c:xVal>
          <c:yVal>
            <c:numRef>
              <c:f>'[2]Other carbon'!$M$65:$M$68</c:f>
              <c:numCache>
                <c:formatCode>General</c:formatCode>
                <c:ptCount val="4"/>
                <c:pt idx="0">
                  <c:v>1.2940814149018907</c:v>
                </c:pt>
                <c:pt idx="1">
                  <c:v>1.3268343700000003</c:v>
                </c:pt>
                <c:pt idx="2">
                  <c:v>1.3696133350000004</c:v>
                </c:pt>
                <c:pt idx="3">
                  <c:v>1.2464679899999993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66720"/>
        <c:axId val="250767112"/>
      </c:scatterChart>
      <c:valAx>
        <c:axId val="25076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Ratio of GAC/CNT (mg/mg)</a:t>
                </a:r>
              </a:p>
            </c:rich>
          </c:tx>
          <c:layout>
            <c:manualLayout>
              <c:xMode val="edge"/>
              <c:yMode val="edge"/>
              <c:x val="0.2466843785199633"/>
              <c:y val="0.91927342923597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767112"/>
        <c:crosses val="autoZero"/>
        <c:crossBetween val="midCat"/>
      </c:valAx>
      <c:valAx>
        <c:axId val="250767112"/>
        <c:scaling>
          <c:orientation val="minMax"/>
          <c:max val="4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</a:t>
                </a:r>
                <a:r>
                  <a:rPr lang="el-GR"/>
                  <a:t>Δ</a:t>
                </a:r>
                <a:r>
                  <a:rPr lang="en-US"/>
                  <a:t>T (°C)</a:t>
                </a:r>
              </a:p>
            </c:rich>
          </c:tx>
          <c:layout>
            <c:manualLayout>
              <c:xMode val="edge"/>
              <c:yMode val="edge"/>
              <c:x val="2.8062719224317139E-3"/>
              <c:y val="0.43768309449123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766720"/>
        <c:crosses val="autoZero"/>
        <c:crossBetween val="midCat"/>
        <c:maj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45995064226439153"/>
          <c:y val="0.47868524519724104"/>
          <c:w val="0.44869872035226366"/>
          <c:h val="0.19531007035683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d)</a:t>
            </a:r>
            <a:endParaRPr lang="zh-CN" sz="900"/>
          </a:p>
        </c:rich>
      </c:tx>
      <c:layout>
        <c:manualLayout>
          <c:xMode val="edge"/>
          <c:yMode val="edge"/>
          <c:x val="4.130647659868204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317162571803907"/>
          <c:y val="7.6200078648705497E-2"/>
          <c:w val="0.8417875995622871"/>
          <c:h val="0.77899866175264676"/>
        </c:manualLayout>
      </c:layout>
      <c:scatterChart>
        <c:scatterStyle val="lineMarker"/>
        <c:varyColors val="0"/>
        <c:ser>
          <c:idx val="1"/>
          <c:order val="0"/>
          <c:tx>
            <c:v>SWCNT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carbon'!$T$76:$T$79</c:f>
                <c:numCache>
                  <c:formatCode>General</c:formatCode>
                  <c:ptCount val="4"/>
                  <c:pt idx="0">
                    <c:v>2.7182999999999999E-2</c:v>
                  </c:pt>
                  <c:pt idx="1">
                    <c:v>6.3420004153756149E-2</c:v>
                  </c:pt>
                  <c:pt idx="2">
                    <c:v>1.4893599213301743E-2</c:v>
                  </c:pt>
                  <c:pt idx="3">
                    <c:v>0.14488726133849683</c:v>
                  </c:pt>
                </c:numCache>
              </c:numRef>
            </c:plus>
            <c:minus>
              <c:numRef>
                <c:f>'[2]Other carbon'!$T$76:$T$79</c:f>
                <c:numCache>
                  <c:formatCode>General</c:formatCode>
                  <c:ptCount val="4"/>
                  <c:pt idx="0">
                    <c:v>2.7182999999999999E-2</c:v>
                  </c:pt>
                  <c:pt idx="1">
                    <c:v>6.3420004153756149E-2</c:v>
                  </c:pt>
                  <c:pt idx="2">
                    <c:v>1.4893599213301743E-2</c:v>
                  </c:pt>
                  <c:pt idx="3">
                    <c:v>0.14488726133849683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'[2]Other carbon'!$N$76:$N$79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'[2]Other carbon'!$R$76:$R$79</c:f>
              <c:numCache>
                <c:formatCode>General</c:formatCode>
                <c:ptCount val="4"/>
                <c:pt idx="0">
                  <c:v>3.1205488429999999</c:v>
                </c:pt>
                <c:pt idx="1">
                  <c:v>3.1423634050000011</c:v>
                </c:pt>
                <c:pt idx="2">
                  <c:v>3.0757756250000003</c:v>
                </c:pt>
                <c:pt idx="3">
                  <c:v>3.0550579249999981</c:v>
                </c:pt>
              </c:numCache>
            </c:numRef>
          </c:yVal>
          <c:smooth val="0"/>
        </c:ser>
        <c:ser>
          <c:idx val="0"/>
          <c:order val="1"/>
          <c:tx>
            <c:v>MWCNT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carbon'!$Q$76:$Q$79</c:f>
                <c:numCache>
                  <c:formatCode>General</c:formatCode>
                  <c:ptCount val="4"/>
                  <c:pt idx="0">
                    <c:v>2.7183200000000001E-2</c:v>
                  </c:pt>
                  <c:pt idx="1">
                    <c:v>1.9756563466362867E-4</c:v>
                  </c:pt>
                  <c:pt idx="2">
                    <c:v>0.15910435735210335</c:v>
                  </c:pt>
                  <c:pt idx="3">
                    <c:v>7.0710678118655765E-2</c:v>
                  </c:pt>
                </c:numCache>
              </c:numRef>
            </c:plus>
            <c:minus>
              <c:numRef>
                <c:f>'[2]Other carbon'!$Q$76:$Q$79</c:f>
                <c:numCache>
                  <c:formatCode>General</c:formatCode>
                  <c:ptCount val="4"/>
                  <c:pt idx="0">
                    <c:v>2.7183200000000001E-2</c:v>
                  </c:pt>
                  <c:pt idx="1">
                    <c:v>1.9756563466362867E-4</c:v>
                  </c:pt>
                  <c:pt idx="2">
                    <c:v>0.15910435735210335</c:v>
                  </c:pt>
                  <c:pt idx="3">
                    <c:v>7.0710678118655765E-2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'[2]Other carbon'!$N$76:$N$79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'[2]Other carbon'!$O$76:$O$79</c:f>
              <c:numCache>
                <c:formatCode>General</c:formatCode>
                <c:ptCount val="4"/>
                <c:pt idx="0">
                  <c:v>3.6351805750000001</c:v>
                </c:pt>
                <c:pt idx="1">
                  <c:v>3.66996535</c:v>
                </c:pt>
                <c:pt idx="2">
                  <c:v>3.6732684800000008</c:v>
                </c:pt>
                <c:pt idx="3">
                  <c:v>3.4648714799999993</c:v>
                </c:pt>
              </c:numCache>
            </c:numRef>
          </c:yVal>
          <c:smooth val="0"/>
        </c:ser>
        <c:ser>
          <c:idx val="2"/>
          <c:order val="2"/>
          <c:tx>
            <c:v>MWCNT-COOH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carbon'!$W$76:$W$79</c:f>
                <c:numCache>
                  <c:formatCode>General</c:formatCode>
                  <c:ptCount val="4"/>
                  <c:pt idx="0">
                    <c:v>9.3812900000000005E-2</c:v>
                  </c:pt>
                  <c:pt idx="1">
                    <c:v>0.14163457014504127</c:v>
                  </c:pt>
                  <c:pt idx="2">
                    <c:v>0.10430437942659537</c:v>
                  </c:pt>
                  <c:pt idx="3">
                    <c:v>0.12717643557186672</c:v>
                  </c:pt>
                </c:numCache>
              </c:numRef>
            </c:plus>
            <c:minus>
              <c:numRef>
                <c:f>'[2]Other carbon'!$W$76:$W$79</c:f>
                <c:numCache>
                  <c:formatCode>General</c:formatCode>
                  <c:ptCount val="4"/>
                  <c:pt idx="0">
                    <c:v>9.3812900000000005E-2</c:v>
                  </c:pt>
                  <c:pt idx="1">
                    <c:v>0.14163457014504127</c:v>
                  </c:pt>
                  <c:pt idx="2">
                    <c:v>0.10430437942659537</c:v>
                  </c:pt>
                  <c:pt idx="3">
                    <c:v>0.12717643557186672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'[2]Other carbon'!$N$76:$N$79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'[2]Other carbon'!$U$76:$U$79</c:f>
              <c:numCache>
                <c:formatCode>General</c:formatCode>
                <c:ptCount val="4"/>
                <c:pt idx="0">
                  <c:v>2.6632428699999999</c:v>
                </c:pt>
                <c:pt idx="1">
                  <c:v>2.5795579250000014</c:v>
                </c:pt>
                <c:pt idx="2">
                  <c:v>2.490426394</c:v>
                </c:pt>
                <c:pt idx="3">
                  <c:v>2.590337980000001</c:v>
                </c:pt>
              </c:numCache>
            </c:numRef>
          </c:yVal>
          <c:smooth val="0"/>
        </c:ser>
        <c:ser>
          <c:idx val="3"/>
          <c:order val="3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'[2]Other carbon'!$M$76:$M$79</c:f>
                <c:numCache>
                  <c:formatCode>General</c:formatCode>
                  <c:ptCount val="4"/>
                  <c:pt idx="0">
                    <c:v>7.1589739999999999E-2</c:v>
                  </c:pt>
                  <c:pt idx="1">
                    <c:v>1.6495450631129869E-2</c:v>
                  </c:pt>
                  <c:pt idx="2">
                    <c:v>1.1524532385796087E-2</c:v>
                  </c:pt>
                  <c:pt idx="3">
                    <c:v>3.3768499518465431E-2</c:v>
                  </c:pt>
                </c:numCache>
              </c:numRef>
            </c:plus>
            <c:minus>
              <c:numRef>
                <c:f>'[2]Other carbon'!$M$76:$M$79</c:f>
                <c:numCache>
                  <c:formatCode>General</c:formatCode>
                  <c:ptCount val="4"/>
                  <c:pt idx="0">
                    <c:v>7.1589739999999999E-2</c:v>
                  </c:pt>
                  <c:pt idx="1">
                    <c:v>1.6495450631129869E-2</c:v>
                  </c:pt>
                  <c:pt idx="2">
                    <c:v>1.1524532385796087E-2</c:v>
                  </c:pt>
                  <c:pt idx="3">
                    <c:v>3.3768499518465431E-2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'[2]Other carbon'!$N$76:$N$79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'[2]Other carbon'!$L$76:$L$79</c:f>
              <c:numCache>
                <c:formatCode>General</c:formatCode>
                <c:ptCount val="4"/>
                <c:pt idx="0">
                  <c:v>1.2940814149018907</c:v>
                </c:pt>
                <c:pt idx="1">
                  <c:v>1.3198960150000012</c:v>
                </c:pt>
                <c:pt idx="2">
                  <c:v>1.3386846850000023</c:v>
                </c:pt>
                <c:pt idx="3">
                  <c:v>1.3532028250000003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261776"/>
        <c:axId val="449238744"/>
      </c:scatterChart>
      <c:valAx>
        <c:axId val="449261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Ratio of GO/CNT (mg/mg)</a:t>
                </a:r>
              </a:p>
            </c:rich>
          </c:tx>
          <c:layout>
            <c:manualLayout>
              <c:xMode val="edge"/>
              <c:yMode val="edge"/>
              <c:x val="0.25150330023731748"/>
              <c:y val="0.93340314168046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449238744"/>
        <c:crosses val="autoZero"/>
        <c:crossBetween val="midCat"/>
      </c:valAx>
      <c:valAx>
        <c:axId val="449238744"/>
        <c:scaling>
          <c:orientation val="minMax"/>
          <c:max val="4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</a:t>
                </a:r>
                <a:r>
                  <a:rPr lang="el-GR"/>
                  <a:t>Δ</a:t>
                </a:r>
                <a:r>
                  <a:rPr lang="en-US"/>
                  <a:t>T (°C)</a:t>
                </a:r>
              </a:p>
            </c:rich>
          </c:tx>
          <c:layout>
            <c:manualLayout>
              <c:xMode val="edge"/>
              <c:yMode val="edge"/>
              <c:x val="2.8062719224317139E-3"/>
              <c:y val="0.39896842163022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449261776"/>
        <c:crosses val="autoZero"/>
        <c:crossBetween val="midCat"/>
        <c:majorUnit val="1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</c:legendEntry>
      <c:layout>
        <c:manualLayout>
          <c:xMode val="edge"/>
          <c:yMode val="edge"/>
          <c:x val="0.48659771886312375"/>
          <c:y val="0.49441712602181165"/>
          <c:w val="0.44836224204722214"/>
          <c:h val="0.21549859621205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b)</a:t>
            </a:r>
          </a:p>
        </c:rich>
      </c:tx>
      <c:layout>
        <c:manualLayout>
          <c:xMode val="edge"/>
          <c:yMode val="edge"/>
          <c:x val="2.0935039370078455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5718503937008"/>
          <c:y val="6.9989932765253657E-2"/>
          <c:w val="0.7919281496062992"/>
          <c:h val="0.78891741272067017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'[2]MW Energy'!$B$7:$B$17</c:f>
              <c:numCache>
                <c:formatCode>General</c:formatCode>
                <c:ptCount val="11"/>
                <c:pt idx="0">
                  <c:v>1400</c:v>
                </c:pt>
                <c:pt idx="1">
                  <c:v>2100</c:v>
                </c:pt>
                <c:pt idx="2">
                  <c:v>2250</c:v>
                </c:pt>
                <c:pt idx="3">
                  <c:v>2610</c:v>
                </c:pt>
                <c:pt idx="4">
                  <c:v>1395</c:v>
                </c:pt>
                <c:pt idx="5">
                  <c:v>2000</c:v>
                </c:pt>
                <c:pt idx="6">
                  <c:v>3000</c:v>
                </c:pt>
                <c:pt idx="7">
                  <c:v>2600</c:v>
                </c:pt>
                <c:pt idx="8">
                  <c:v>1995</c:v>
                </c:pt>
                <c:pt idx="9">
                  <c:v>2235</c:v>
                </c:pt>
                <c:pt idx="10">
                  <c:v>2980</c:v>
                </c:pt>
              </c:numCache>
            </c:numRef>
          </c:xVal>
          <c:yVal>
            <c:numRef>
              <c:f>'[2]MW Energy'!$E$7:$E$17</c:f>
              <c:numCache>
                <c:formatCode>General</c:formatCode>
                <c:ptCount val="11"/>
                <c:pt idx="0">
                  <c:v>2.7183444900000033</c:v>
                </c:pt>
                <c:pt idx="1">
                  <c:v>2.7213247200000019</c:v>
                </c:pt>
                <c:pt idx="2">
                  <c:v>2.724770620000001</c:v>
                </c:pt>
                <c:pt idx="3">
                  <c:v>3.2404439600000003</c:v>
                </c:pt>
                <c:pt idx="4">
                  <c:v>2.9306379499999999</c:v>
                </c:pt>
                <c:pt idx="5">
                  <c:v>3.1063335000000016</c:v>
                </c:pt>
                <c:pt idx="6">
                  <c:v>3.7493186499999993</c:v>
                </c:pt>
                <c:pt idx="7">
                  <c:v>4.4463204999999988</c:v>
                </c:pt>
                <c:pt idx="8">
                  <c:v>3.5974199300000009</c:v>
                </c:pt>
                <c:pt idx="9">
                  <c:v>4.44240894</c:v>
                </c:pt>
                <c:pt idx="10">
                  <c:v>4.9327503058511262</c:v>
                </c:pt>
              </c:numCache>
            </c:numRef>
          </c:yVal>
          <c:smooth val="0"/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127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909886264216946E-2"/>
                  <c:y val="3.1608705161854767E-2"/>
                </c:manualLayout>
              </c:layout>
              <c:tx>
                <c:rich>
                  <a:bodyPr/>
                  <a:lstStyle/>
                  <a:p>
                    <a:fld id="{C2EC414D-8AE1-4FAC-9E78-AE0A591FA82B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DD4A899-FAD7-47DD-AB22-8CB073D26213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>
                <c:manualLayout>
                  <c:x val="-6.7177165354330715E-2"/>
                  <c:y val="4.2591234314888718E-2"/>
                </c:manualLayout>
              </c:layout>
              <c:tx>
                <c:rich>
                  <a:bodyPr/>
                  <a:lstStyle/>
                  <a:p>
                    <a:fld id="{F751FD80-B607-41B0-817E-43D6C8812680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F90F6E5-2D58-444E-A570-99CBE0678E00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83B288-0C75-4D9E-B925-8199FE59A9AC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EF72C43-A2EF-4BFF-A924-DED797F165FA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2AC94DF4-B643-4E04-B263-21F6779A4725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552D522-B0CF-404F-8895-10DA41816B34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371DD62-B4B9-4A16-80A6-B5C20225BA86}" type="CELLRANGE">
                      <a:rPr lang="zh-CN" altLang="en-US"/>
                      <a:pPr/>
                      <a:t>[CELLRANGE]</a:t>
                    </a:fld>
                    <a:endParaRPr lang="zh-CN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>
                <c:manualLayout>
                  <c:x val="-0.15988549868766405"/>
                  <c:y val="-4.4166756552691186E-2"/>
                </c:manualLayout>
              </c:layout>
              <c:tx>
                <c:rich>
                  <a:bodyPr/>
                  <a:lstStyle/>
                  <a:p>
                    <a:fld id="{E63ACF56-6BDA-45F6-AEA3-456FB4D56C92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5.4159886264216972E-2"/>
                  <c:y val="4.9931831437736947E-2"/>
                </c:manualLayout>
              </c:layout>
              <c:tx>
                <c:rich>
                  <a:bodyPr/>
                  <a:lstStyle/>
                  <a:p>
                    <a:fld id="{EA3C071B-CD6C-4F84-921E-145CC0612BC2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zh-CN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'[2]MW Energy'!$B$7:$B$17</c:f>
              <c:numCache>
                <c:formatCode>General</c:formatCode>
                <c:ptCount val="11"/>
                <c:pt idx="0">
                  <c:v>1400</c:v>
                </c:pt>
                <c:pt idx="1">
                  <c:v>2100</c:v>
                </c:pt>
                <c:pt idx="2">
                  <c:v>2250</c:v>
                </c:pt>
                <c:pt idx="3">
                  <c:v>2610</c:v>
                </c:pt>
                <c:pt idx="4">
                  <c:v>1395</c:v>
                </c:pt>
                <c:pt idx="5">
                  <c:v>2000</c:v>
                </c:pt>
                <c:pt idx="6">
                  <c:v>3000</c:v>
                </c:pt>
                <c:pt idx="7">
                  <c:v>2600</c:v>
                </c:pt>
                <c:pt idx="8">
                  <c:v>1995</c:v>
                </c:pt>
                <c:pt idx="9">
                  <c:v>2235</c:v>
                </c:pt>
                <c:pt idx="10">
                  <c:v>2980</c:v>
                </c:pt>
              </c:numCache>
            </c:numRef>
          </c:xVal>
          <c:yVal>
            <c:numRef>
              <c:f>'[2]MW Energy'!$E$7:$E$17</c:f>
              <c:numCache>
                <c:formatCode>General</c:formatCode>
                <c:ptCount val="11"/>
                <c:pt idx="0">
                  <c:v>2.7183444900000033</c:v>
                </c:pt>
                <c:pt idx="1">
                  <c:v>2.7213247200000019</c:v>
                </c:pt>
                <c:pt idx="2">
                  <c:v>2.724770620000001</c:v>
                </c:pt>
                <c:pt idx="3">
                  <c:v>3.2404439600000003</c:v>
                </c:pt>
                <c:pt idx="4">
                  <c:v>2.9306379499999999</c:v>
                </c:pt>
                <c:pt idx="5">
                  <c:v>3.1063335000000016</c:v>
                </c:pt>
                <c:pt idx="6">
                  <c:v>3.7493186499999993</c:v>
                </c:pt>
                <c:pt idx="7">
                  <c:v>4.4463204999999988</c:v>
                </c:pt>
                <c:pt idx="8">
                  <c:v>3.5974199300000009</c:v>
                </c:pt>
                <c:pt idx="9">
                  <c:v>4.44240894</c:v>
                </c:pt>
                <c:pt idx="10">
                  <c:v>4.9327503058511262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'[2]MW Energy'!$F$7:$F$17</c15:f>
                <c15:dlblRangeCache>
                  <c:ptCount val="11"/>
                  <c:pt idx="0">
                    <c:v>70W,20s</c:v>
                  </c:pt>
                  <c:pt idx="1">
                    <c:v>70W, 30s</c:v>
                  </c:pt>
                  <c:pt idx="2">
                    <c:v>75W,30s</c:v>
                  </c:pt>
                  <c:pt idx="3">
                    <c:v>87W,30s</c:v>
                  </c:pt>
                  <c:pt idx="4">
                    <c:v>93W,15s</c:v>
                  </c:pt>
                  <c:pt idx="5">
                    <c:v>100W,20s</c:v>
                  </c:pt>
                  <c:pt idx="6">
                    <c:v>100W,30s</c:v>
                  </c:pt>
                  <c:pt idx="7">
                    <c:v>130W,20s</c:v>
                  </c:pt>
                  <c:pt idx="8">
                    <c:v>133W,15</c:v>
                  </c:pt>
                  <c:pt idx="9">
                    <c:v>149W,15s</c:v>
                  </c:pt>
                  <c:pt idx="10">
                    <c:v>149W,20s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67896"/>
        <c:axId val="250768288"/>
      </c:scatterChart>
      <c:valAx>
        <c:axId val="250767896"/>
        <c:scaling>
          <c:orientation val="minMax"/>
          <c:min val="1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Energy (J)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6316076115485566"/>
              <c:y val="0.93287037037037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768288"/>
        <c:crosses val="autoZero"/>
        <c:crossBetween val="midCat"/>
      </c:valAx>
      <c:valAx>
        <c:axId val="250768288"/>
        <c:scaling>
          <c:orientation val="minMax"/>
          <c:max val="5"/>
          <c:min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 (℃) 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2.7778871391076114E-3"/>
              <c:y val="0.355510372847229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76789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a)</a:t>
            </a:r>
          </a:p>
        </c:rich>
      </c:tx>
      <c:layout>
        <c:manualLayout>
          <c:xMode val="edge"/>
          <c:yMode val="edge"/>
          <c:x val="2.315316472291102E-3"/>
          <c:y val="3.05944988583744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58392930241519"/>
          <c:y val="6.7113917730565548E-2"/>
          <c:w val="0.82504060081174857"/>
          <c:h val="0.77709383976290036"/>
        </c:manualLayout>
      </c:layout>
      <c:scatterChart>
        <c:scatterStyle val="lineMarker"/>
        <c:varyColors val="0"/>
        <c:ser>
          <c:idx val="3"/>
          <c:order val="0"/>
          <c:tx>
            <c:v>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136656676780652"/>
                  <c:y val="-0.119824758747261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Sludge!$P$7:$P$15</c:f>
                <c:numCache>
                  <c:formatCode>General</c:formatCode>
                  <c:ptCount val="9"/>
                  <c:pt idx="0">
                    <c:v>0.21406862305293611</c:v>
                  </c:pt>
                  <c:pt idx="1">
                    <c:v>0.12932149349006794</c:v>
                  </c:pt>
                  <c:pt idx="2">
                    <c:v>0.28544240911514301</c:v>
                  </c:pt>
                  <c:pt idx="3">
                    <c:v>0.30108105579199901</c:v>
                  </c:pt>
                  <c:pt idx="4">
                    <c:v>0.49512571412835898</c:v>
                  </c:pt>
                  <c:pt idx="5">
                    <c:v>0.39998461160662202</c:v>
                  </c:pt>
                  <c:pt idx="6">
                    <c:v>0.242554148371837</c:v>
                  </c:pt>
                </c:numCache>
              </c:numRef>
            </c:plus>
            <c:minus>
              <c:numRef>
                <c:f>Sludge!$P$7:$P$15</c:f>
                <c:numCache>
                  <c:formatCode>General</c:formatCode>
                  <c:ptCount val="9"/>
                  <c:pt idx="0">
                    <c:v>0.21406862305293611</c:v>
                  </c:pt>
                  <c:pt idx="1">
                    <c:v>0.12932149349006794</c:v>
                  </c:pt>
                  <c:pt idx="2">
                    <c:v>0.28544240911514301</c:v>
                  </c:pt>
                  <c:pt idx="3">
                    <c:v>0.30108105579199901</c:v>
                  </c:pt>
                  <c:pt idx="4">
                    <c:v>0.49512571412835898</c:v>
                  </c:pt>
                  <c:pt idx="5">
                    <c:v>0.39998461160662202</c:v>
                  </c:pt>
                  <c:pt idx="6">
                    <c:v>0.242554148371837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</c:errBars>
          <c:xVal>
            <c:numRef>
              <c:f>Sludge!$N$7:$N$15</c:f>
              <c:numCache>
                <c:formatCode>General</c:formatCode>
                <c:ptCount val="9"/>
                <c:pt idx="0">
                  <c:v>0</c:v>
                </c:pt>
                <c:pt idx="1">
                  <c:v>4.4999999999999998E-2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0.44999999999999996</c:v>
                </c:pt>
                <c:pt idx="6">
                  <c:v>0.375</c:v>
                </c:pt>
              </c:numCache>
            </c:numRef>
          </c:xVal>
          <c:yVal>
            <c:numRef>
              <c:f>Sludge!$O$7:$O$15</c:f>
              <c:numCache>
                <c:formatCode>General</c:formatCode>
                <c:ptCount val="9"/>
                <c:pt idx="0">
                  <c:v>1.6557260869565218</c:v>
                </c:pt>
                <c:pt idx="1">
                  <c:v>2.3925815004831441</c:v>
                </c:pt>
                <c:pt idx="2">
                  <c:v>3.0521587775122199</c:v>
                </c:pt>
                <c:pt idx="3">
                  <c:v>3.9483930600000017</c:v>
                </c:pt>
                <c:pt idx="4">
                  <c:v>4.4891800000000002</c:v>
                </c:pt>
                <c:pt idx="5">
                  <c:v>6.0325202944999985</c:v>
                </c:pt>
                <c:pt idx="6">
                  <c:v>5.7348228000000008</c:v>
                </c:pt>
              </c:numCache>
            </c:numRef>
          </c:yVal>
          <c:smooth val="0"/>
        </c:ser>
        <c:ser>
          <c:idx val="4"/>
          <c:order val="1"/>
          <c:tx>
            <c:v>MWCNT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6717981174339022E-2"/>
                  <c:y val="-2.35194284924910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Sludge!$F$7:$F$14</c:f>
                <c:numCache>
                  <c:formatCode>General</c:formatCode>
                  <c:ptCount val="8"/>
                  <c:pt idx="0">
                    <c:v>0.35533955131182932</c:v>
                  </c:pt>
                  <c:pt idx="1">
                    <c:v>0.32161573748782002</c:v>
                  </c:pt>
                  <c:pt idx="2">
                    <c:v>0.35533955131182932</c:v>
                  </c:pt>
                  <c:pt idx="3">
                    <c:v>3.3995764019602102E-2</c:v>
                  </c:pt>
                  <c:pt idx="4">
                    <c:v>0.24876288540031036</c:v>
                  </c:pt>
                  <c:pt idx="5">
                    <c:v>0.38580946084762974</c:v>
                  </c:pt>
                  <c:pt idx="6">
                    <c:v>0.16075172789933001</c:v>
                  </c:pt>
                </c:numCache>
              </c:numRef>
            </c:plus>
            <c:minus>
              <c:numRef>
                <c:f>Sludge!$F$7:$F$14</c:f>
                <c:numCache>
                  <c:formatCode>General</c:formatCode>
                  <c:ptCount val="8"/>
                  <c:pt idx="0">
                    <c:v>0.35533955131182932</c:v>
                  </c:pt>
                  <c:pt idx="1">
                    <c:v>0.32161573748782002</c:v>
                  </c:pt>
                  <c:pt idx="2">
                    <c:v>0.35533955131182932</c:v>
                  </c:pt>
                  <c:pt idx="3">
                    <c:v>3.3995764019602102E-2</c:v>
                  </c:pt>
                  <c:pt idx="4">
                    <c:v>0.24876288540031036</c:v>
                  </c:pt>
                  <c:pt idx="5">
                    <c:v>0.38580946084762974</c:v>
                  </c:pt>
                  <c:pt idx="6">
                    <c:v>0.16075172789933001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0070C0"/>
                </a:solidFill>
                <a:round/>
              </a:ln>
              <a:effectLst/>
            </c:spPr>
          </c:errBars>
          <c:xVal>
            <c:numRef>
              <c:f>Sludge!$D$7:$D$16</c:f>
              <c:numCache>
                <c:formatCode>General</c:formatCode>
                <c:ptCount val="10"/>
                <c:pt idx="0">
                  <c:v>0</c:v>
                </c:pt>
                <c:pt idx="1">
                  <c:v>0.22499999999999998</c:v>
                </c:pt>
                <c:pt idx="2">
                  <c:v>0.15</c:v>
                </c:pt>
                <c:pt idx="3">
                  <c:v>1.4999999999999999E-2</c:v>
                </c:pt>
                <c:pt idx="4">
                  <c:v>0.3</c:v>
                </c:pt>
                <c:pt idx="5">
                  <c:v>7.4999999999999997E-2</c:v>
                </c:pt>
                <c:pt idx="6">
                  <c:v>0.24</c:v>
                </c:pt>
              </c:numCache>
            </c:numRef>
          </c:xVal>
          <c:yVal>
            <c:numRef>
              <c:f>Sludge!$E$7:$E$16</c:f>
              <c:numCache>
                <c:formatCode>General</c:formatCode>
                <c:ptCount val="10"/>
                <c:pt idx="0">
                  <c:v>1.6557260869565218</c:v>
                </c:pt>
                <c:pt idx="1">
                  <c:v>5.3852955844084889</c:v>
                </c:pt>
                <c:pt idx="2">
                  <c:v>4.5492308328885471</c:v>
                </c:pt>
                <c:pt idx="3">
                  <c:v>2.2430708700000017</c:v>
                </c:pt>
                <c:pt idx="4">
                  <c:v>7.0379638364293298</c:v>
                </c:pt>
                <c:pt idx="5">
                  <c:v>2.82</c:v>
                </c:pt>
                <c:pt idx="6">
                  <c:v>6.1778957249999999</c:v>
                </c:pt>
              </c:numCache>
            </c:numRef>
          </c:yVal>
          <c:smooth val="0"/>
        </c:ser>
        <c:ser>
          <c:idx val="5"/>
          <c:order val="2"/>
          <c:tx>
            <c:v>MWCNT-COOH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177164016577438"/>
                  <c:y val="0.318608039848677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Sludge!$Z$7:$Z$12</c:f>
                <c:numCache>
                  <c:formatCode>General</c:formatCode>
                  <c:ptCount val="6"/>
                  <c:pt idx="0">
                    <c:v>0.181328539002867</c:v>
                  </c:pt>
                  <c:pt idx="1">
                    <c:v>0.26212893583929298</c:v>
                  </c:pt>
                  <c:pt idx="2">
                    <c:v>0.15654236072643943</c:v>
                  </c:pt>
                  <c:pt idx="3">
                    <c:v>0.40999217899382401</c:v>
                  </c:pt>
                  <c:pt idx="4">
                    <c:v>0.21079925301208369</c:v>
                  </c:pt>
                  <c:pt idx="5">
                    <c:v>0.267628714537677</c:v>
                  </c:pt>
                </c:numCache>
              </c:numRef>
            </c:plus>
            <c:minus>
              <c:numRef>
                <c:f>Sludge!$Z$7:$Z$12</c:f>
                <c:numCache>
                  <c:formatCode>General</c:formatCode>
                  <c:ptCount val="6"/>
                  <c:pt idx="0">
                    <c:v>0.181328539002867</c:v>
                  </c:pt>
                  <c:pt idx="1">
                    <c:v>0.26212893583929298</c:v>
                  </c:pt>
                  <c:pt idx="2">
                    <c:v>0.15654236072643943</c:v>
                  </c:pt>
                  <c:pt idx="3">
                    <c:v>0.40999217899382401</c:v>
                  </c:pt>
                  <c:pt idx="4">
                    <c:v>0.21079925301208369</c:v>
                  </c:pt>
                  <c:pt idx="5">
                    <c:v>0.267628714537677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70AD47"/>
                </a:solidFill>
                <a:round/>
              </a:ln>
              <a:effectLst/>
            </c:spPr>
          </c:errBars>
          <c:xVal>
            <c:numRef>
              <c:f>Sludge!$X$7:$X$13</c:f>
              <c:numCache>
                <c:formatCode>General</c:formatCode>
                <c:ptCount val="7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0.39</c:v>
                </c:pt>
                <c:pt idx="6">
                  <c:v>0.54</c:v>
                </c:pt>
              </c:numCache>
            </c:numRef>
          </c:xVal>
          <c:yVal>
            <c:numRef>
              <c:f>Sludge!$Y$7:$Y$13</c:f>
              <c:numCache>
                <c:formatCode>General</c:formatCode>
                <c:ptCount val="7"/>
                <c:pt idx="0">
                  <c:v>1.6557260869565218</c:v>
                </c:pt>
                <c:pt idx="1">
                  <c:v>2.4318912142991493</c:v>
                </c:pt>
                <c:pt idx="2">
                  <c:v>2.9909897855013994</c:v>
                </c:pt>
                <c:pt idx="3">
                  <c:v>3.40157278</c:v>
                </c:pt>
                <c:pt idx="5">
                  <c:v>3.8462548700000001</c:v>
                </c:pt>
                <c:pt idx="6">
                  <c:v>4.8454418523333302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69072"/>
        <c:axId val="250769464"/>
        <c:extLst/>
      </c:scatterChart>
      <c:valAx>
        <c:axId val="250769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CNTs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769464"/>
        <c:crosses val="autoZero"/>
        <c:crossBetween val="midCat"/>
      </c:valAx>
      <c:valAx>
        <c:axId val="25076946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76907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59547712564298261"/>
          <c:y val="0.65798617278103377"/>
          <c:w val="0.32167875260651707"/>
          <c:h val="0.17091343780047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b)</a:t>
            </a:r>
          </a:p>
        </c:rich>
      </c:tx>
      <c:layout>
        <c:manualLayout>
          <c:xMode val="edge"/>
          <c:yMode val="edge"/>
          <c:x val="1.4210284112039441E-3"/>
          <c:y val="3.28160199487259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983129593510292"/>
          <c:y val="7.8862474507759697E-2"/>
          <c:w val="0.82079323417906092"/>
          <c:h val="0.78184662892748158"/>
        </c:manualLayout>
      </c:layout>
      <c:scatterChart>
        <c:scatterStyle val="lineMarker"/>
        <c:varyColors val="0"/>
        <c:ser>
          <c:idx val="3"/>
          <c:order val="0"/>
          <c:tx>
            <c:v>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007496769325854"/>
                  <c:y val="-0.109763337509640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Sludge!$R$7:$R$15</c:f>
                <c:numCache>
                  <c:formatCode>General</c:formatCode>
                  <c:ptCount val="9"/>
                  <c:pt idx="0">
                    <c:v>0.21758222269955599</c:v>
                  </c:pt>
                  <c:pt idx="1">
                    <c:v>0.14216763759180101</c:v>
                  </c:pt>
                  <c:pt idx="2">
                    <c:v>0.15260654100774421</c:v>
                  </c:pt>
                  <c:pt idx="3">
                    <c:v>0.15434325672612609</c:v>
                  </c:pt>
                  <c:pt idx="4">
                    <c:v>0.27221396006163001</c:v>
                  </c:pt>
                  <c:pt idx="5">
                    <c:v>0.22892539614506299</c:v>
                  </c:pt>
                  <c:pt idx="6">
                    <c:v>3.3674206122084514E-2</c:v>
                  </c:pt>
                </c:numCache>
              </c:numRef>
            </c:plus>
            <c:minus>
              <c:numRef>
                <c:f>Sludge!$R$7:$R$15</c:f>
                <c:numCache>
                  <c:formatCode>General</c:formatCode>
                  <c:ptCount val="9"/>
                  <c:pt idx="0">
                    <c:v>0.21758222269955599</c:v>
                  </c:pt>
                  <c:pt idx="1">
                    <c:v>0.14216763759180101</c:v>
                  </c:pt>
                  <c:pt idx="2">
                    <c:v>0.15260654100774421</c:v>
                  </c:pt>
                  <c:pt idx="3">
                    <c:v>0.15434325672612609</c:v>
                  </c:pt>
                  <c:pt idx="4">
                    <c:v>0.27221396006163001</c:v>
                  </c:pt>
                  <c:pt idx="5">
                    <c:v>0.22892539614506299</c:v>
                  </c:pt>
                  <c:pt idx="6">
                    <c:v>3.3674206122084514E-2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</c:errBars>
          <c:xVal>
            <c:numRef>
              <c:f>Sludge!$N$7:$N$15</c:f>
              <c:numCache>
                <c:formatCode>General</c:formatCode>
                <c:ptCount val="9"/>
                <c:pt idx="0">
                  <c:v>0</c:v>
                </c:pt>
                <c:pt idx="1">
                  <c:v>4.4999999999999998E-2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0.44999999999999996</c:v>
                </c:pt>
                <c:pt idx="6">
                  <c:v>0.375</c:v>
                </c:pt>
              </c:numCache>
            </c:numRef>
          </c:xVal>
          <c:yVal>
            <c:numRef>
              <c:f>Sludge!$Q$7:$Q$15</c:f>
              <c:numCache>
                <c:formatCode>General</c:formatCode>
                <c:ptCount val="9"/>
                <c:pt idx="0">
                  <c:v>2.2267770865236614</c:v>
                </c:pt>
                <c:pt idx="1">
                  <c:v>2.8858536335148792</c:v>
                </c:pt>
                <c:pt idx="2">
                  <c:v>4.0436817155000018</c:v>
                </c:pt>
                <c:pt idx="3">
                  <c:v>4.7329427956575669</c:v>
                </c:pt>
                <c:pt idx="4">
                  <c:v>5.1344230499999997</c:v>
                </c:pt>
                <c:pt idx="5">
                  <c:v>7.1949516599999992</c:v>
                </c:pt>
                <c:pt idx="6">
                  <c:v>6.4971949295</c:v>
                </c:pt>
              </c:numCache>
            </c:numRef>
          </c:yVal>
          <c:smooth val="0"/>
        </c:ser>
        <c:ser>
          <c:idx val="4"/>
          <c:order val="1"/>
          <c:tx>
            <c:v>MWCNT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0886636112381977E-2"/>
                  <c:y val="-2.63107355483003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Sludge!$H$7:$H$14</c:f>
                <c:numCache>
                  <c:formatCode>General</c:formatCode>
                  <c:ptCount val="8"/>
                  <c:pt idx="0">
                    <c:v>0.38580946084762974</c:v>
                  </c:pt>
                  <c:pt idx="1">
                    <c:v>0.30873220293297932</c:v>
                  </c:pt>
                  <c:pt idx="2">
                    <c:v>0.17629290248762958</c:v>
                  </c:pt>
                  <c:pt idx="3">
                    <c:v>2.59022435316483E-2</c:v>
                  </c:pt>
                  <c:pt idx="4">
                    <c:v>0.20069171436630445</c:v>
                  </c:pt>
                  <c:pt idx="5">
                    <c:v>0.33995764019602093</c:v>
                  </c:pt>
                  <c:pt idx="6">
                    <c:v>0.24876288540031036</c:v>
                  </c:pt>
                </c:numCache>
              </c:numRef>
            </c:plus>
            <c:minus>
              <c:numRef>
                <c:f>Sludge!$H$7:$H$14</c:f>
                <c:numCache>
                  <c:formatCode>General</c:formatCode>
                  <c:ptCount val="8"/>
                  <c:pt idx="0">
                    <c:v>0.38580946084762974</c:v>
                  </c:pt>
                  <c:pt idx="1">
                    <c:v>0.30873220293297932</c:v>
                  </c:pt>
                  <c:pt idx="2">
                    <c:v>0.17629290248762958</c:v>
                  </c:pt>
                  <c:pt idx="3">
                    <c:v>2.59022435316483E-2</c:v>
                  </c:pt>
                  <c:pt idx="4">
                    <c:v>0.20069171436630445</c:v>
                  </c:pt>
                  <c:pt idx="5">
                    <c:v>0.33995764019602093</c:v>
                  </c:pt>
                  <c:pt idx="6">
                    <c:v>0.24876288540031036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Sludge!$D$7:$D$16</c:f>
              <c:numCache>
                <c:formatCode>General</c:formatCode>
                <c:ptCount val="10"/>
                <c:pt idx="0">
                  <c:v>0</c:v>
                </c:pt>
                <c:pt idx="1">
                  <c:v>0.22499999999999998</c:v>
                </c:pt>
                <c:pt idx="2">
                  <c:v>0.15</c:v>
                </c:pt>
                <c:pt idx="3">
                  <c:v>1.4999999999999999E-2</c:v>
                </c:pt>
                <c:pt idx="4">
                  <c:v>0.3</c:v>
                </c:pt>
                <c:pt idx="5">
                  <c:v>7.4999999999999997E-2</c:v>
                </c:pt>
                <c:pt idx="6">
                  <c:v>0.24</c:v>
                </c:pt>
              </c:numCache>
            </c:numRef>
          </c:xVal>
          <c:yVal>
            <c:numRef>
              <c:f>Sludge!$G$7:$G$16</c:f>
              <c:numCache>
                <c:formatCode>General</c:formatCode>
                <c:ptCount val="10"/>
                <c:pt idx="0">
                  <c:v>2.2267770865236614</c:v>
                </c:pt>
                <c:pt idx="1">
                  <c:v>6.5530254451799292</c:v>
                </c:pt>
                <c:pt idx="2">
                  <c:v>5.4822991770190539</c:v>
                </c:pt>
                <c:pt idx="3">
                  <c:v>2.5170489841709998</c:v>
                </c:pt>
                <c:pt idx="4">
                  <c:v>9.4397710763563794</c:v>
                </c:pt>
                <c:pt idx="5">
                  <c:v>3.8195140009828683</c:v>
                </c:pt>
                <c:pt idx="6">
                  <c:v>7.4599148866666667</c:v>
                </c:pt>
              </c:numCache>
            </c:numRef>
          </c:yVal>
          <c:smooth val="0"/>
        </c:ser>
        <c:ser>
          <c:idx val="5"/>
          <c:order val="2"/>
          <c:tx>
            <c:v>MWCNT-COOH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575057322727623"/>
                  <c:y val="0.273016177855816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Sludge!$AB$7:$AB$12</c:f>
                <c:numCache>
                  <c:formatCode>General</c:formatCode>
                  <c:ptCount val="6"/>
                  <c:pt idx="0">
                    <c:v>5.8300195885641025E-2</c:v>
                  </c:pt>
                  <c:pt idx="1">
                    <c:v>0.13423976809648999</c:v>
                  </c:pt>
                  <c:pt idx="2">
                    <c:v>0.24330944412730199</c:v>
                  </c:pt>
                  <c:pt idx="3">
                    <c:v>0.29089684088884704</c:v>
                  </c:pt>
                  <c:pt idx="4">
                    <c:v>0.28972743889462699</c:v>
                  </c:pt>
                  <c:pt idx="5">
                    <c:v>0.11116488969882538</c:v>
                  </c:pt>
                </c:numCache>
              </c:numRef>
            </c:plus>
            <c:minus>
              <c:numRef>
                <c:f>Sludge!$AB$7:$AB$12</c:f>
                <c:numCache>
                  <c:formatCode>General</c:formatCode>
                  <c:ptCount val="6"/>
                  <c:pt idx="0">
                    <c:v>5.8300195885641025E-2</c:v>
                  </c:pt>
                  <c:pt idx="1">
                    <c:v>0.13423976809648999</c:v>
                  </c:pt>
                  <c:pt idx="2">
                    <c:v>0.24330944412730199</c:v>
                  </c:pt>
                  <c:pt idx="3">
                    <c:v>0.29089684088884704</c:v>
                  </c:pt>
                  <c:pt idx="4">
                    <c:v>0.28972743889462699</c:v>
                  </c:pt>
                  <c:pt idx="5">
                    <c:v>0.11116488969882538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70AD47"/>
                </a:solidFill>
                <a:round/>
              </a:ln>
              <a:effectLst/>
            </c:spPr>
          </c:errBars>
          <c:xVal>
            <c:numRef>
              <c:f>Sludge!$X$7:$X$13</c:f>
              <c:numCache>
                <c:formatCode>General</c:formatCode>
                <c:ptCount val="7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0.39</c:v>
                </c:pt>
                <c:pt idx="6">
                  <c:v>0.54</c:v>
                </c:pt>
              </c:numCache>
            </c:numRef>
          </c:xVal>
          <c:yVal>
            <c:numRef>
              <c:f>Sludge!$AA$7:$AA$13</c:f>
              <c:numCache>
                <c:formatCode>General</c:formatCode>
                <c:ptCount val="7"/>
                <c:pt idx="0">
                  <c:v>1.97</c:v>
                </c:pt>
                <c:pt idx="1">
                  <c:v>2.606716454999999</c:v>
                </c:pt>
                <c:pt idx="2">
                  <c:v>3.1403431433333338</c:v>
                </c:pt>
                <c:pt idx="3">
                  <c:v>3.3135434099999999</c:v>
                </c:pt>
                <c:pt idx="4">
                  <c:v>3.8958018002690151</c:v>
                </c:pt>
                <c:pt idx="5">
                  <c:v>4.2727498324999988</c:v>
                </c:pt>
                <c:pt idx="6">
                  <c:v>5.4009681500000006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356752"/>
        <c:axId val="251357144"/>
        <c:extLst/>
      </c:scatterChart>
      <c:valAx>
        <c:axId val="25135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CNT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1357144"/>
        <c:crosses val="autoZero"/>
        <c:crossBetween val="midCat"/>
      </c:valAx>
      <c:valAx>
        <c:axId val="2513571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135675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58827666610481033"/>
          <c:y val="0.66005240198633708"/>
          <c:w val="0.34996227535778213"/>
          <c:h val="0.18543147045643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050"/>
              <a:t>a)</a:t>
            </a:r>
            <a:endParaRPr lang="zh-CN" sz="1050"/>
          </a:p>
        </c:rich>
      </c:tx>
      <c:layout>
        <c:manualLayout>
          <c:xMode val="edge"/>
          <c:yMode val="edge"/>
          <c:x val="2.3173231021963417E-3"/>
          <c:y val="4.230797369840964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645417793723796"/>
          <c:y val="6.3980674026340625E-2"/>
          <c:w val="0.79240510647178275"/>
          <c:h val="0.79357160142216243"/>
        </c:manualLayout>
      </c:layout>
      <c:scatterChart>
        <c:scatterStyle val="lineMarker"/>
        <c:varyColors val="0"/>
        <c:ser>
          <c:idx val="0"/>
          <c:order val="0"/>
          <c:tx>
            <c:v>15.3 mg Sludge-MWCNT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4.9531769888547482E-2"/>
                  <c:y val="0.240104313883841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[3]Mass!$F$56:$F$62</c:f>
              <c:numCache>
                <c:formatCode>General</c:formatCode>
                <c:ptCount val="7"/>
                <c:pt idx="0">
                  <c:v>0</c:v>
                </c:pt>
                <c:pt idx="1">
                  <c:v>0.22499999999999998</c:v>
                </c:pt>
                <c:pt idx="2">
                  <c:v>0.15</c:v>
                </c:pt>
                <c:pt idx="3">
                  <c:v>1.4999999999999999E-2</c:v>
                </c:pt>
                <c:pt idx="4">
                  <c:v>0.3</c:v>
                </c:pt>
                <c:pt idx="5">
                  <c:v>7.4999999999999997E-2</c:v>
                </c:pt>
                <c:pt idx="6">
                  <c:v>0.24</c:v>
                </c:pt>
              </c:numCache>
            </c:numRef>
          </c:xVal>
          <c:yVal>
            <c:numRef>
              <c:f>[3]Mass!$G$56:$G$62</c:f>
              <c:numCache>
                <c:formatCode>General</c:formatCode>
                <c:ptCount val="7"/>
                <c:pt idx="0">
                  <c:v>0</c:v>
                </c:pt>
                <c:pt idx="1">
                  <c:v>4.9070321931041416</c:v>
                </c:pt>
                <c:pt idx="2">
                  <c:v>3.4609444240571436</c:v>
                </c:pt>
                <c:pt idx="3">
                  <c:v>0.68418196004915099</c:v>
                </c:pt>
                <c:pt idx="4">
                  <c:v>5.7492706914084124</c:v>
                </c:pt>
                <c:pt idx="5">
                  <c:v>1.897625175421362</c:v>
                </c:pt>
                <c:pt idx="6">
                  <c:v>5.1377667686956521</c:v>
                </c:pt>
              </c:numCache>
            </c:numRef>
          </c:yVal>
          <c:smooth val="0"/>
        </c:ser>
        <c:ser>
          <c:idx val="1"/>
          <c:order val="1"/>
          <c:tx>
            <c:v>10.3 mg Sludge-MWCNT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8172964295251213"/>
                  <c:y val="-6.9658119658119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[3]Mass!$M$50:$M$54</c:f>
              <c:numCache>
                <c:formatCode>General</c:formatCode>
                <c:ptCount val="5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</c:numCache>
            </c:numRef>
          </c:xVal>
          <c:yVal>
            <c:numRef>
              <c:f>[3]Mass!$Q$50:$Q$54</c:f>
              <c:numCache>
                <c:formatCode>General</c:formatCode>
                <c:ptCount val="5"/>
                <c:pt idx="0">
                  <c:v>0</c:v>
                </c:pt>
                <c:pt idx="1">
                  <c:v>0.8174078599999981</c:v>
                </c:pt>
                <c:pt idx="2">
                  <c:v>2.8440959699999997</c:v>
                </c:pt>
                <c:pt idx="3">
                  <c:v>4.6428666250000017</c:v>
                </c:pt>
                <c:pt idx="4">
                  <c:v>7.4283280750000014</c:v>
                </c:pt>
              </c:numCache>
            </c:numRef>
          </c:yVal>
          <c:smooth val="0"/>
        </c:ser>
        <c:ser>
          <c:idx val="2"/>
          <c:order val="2"/>
          <c:tx>
            <c:v>4.7 mg Sludge-MWCNT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21636119070743068"/>
                  <c:y val="0.245736813386131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[3]Mass!$M$58:$M$62</c:f>
              <c:numCache>
                <c:formatCode>General</c:formatCode>
                <c:ptCount val="5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</c:numCache>
            </c:numRef>
          </c:xVal>
          <c:yVal>
            <c:numRef>
              <c:f>[3]Mass!$Q$58:$Q$62</c:f>
              <c:numCache>
                <c:formatCode>General</c:formatCode>
                <c:ptCount val="5"/>
                <c:pt idx="0">
                  <c:v>0</c:v>
                </c:pt>
                <c:pt idx="1">
                  <c:v>1.1570560900000002</c:v>
                </c:pt>
                <c:pt idx="2">
                  <c:v>3.9612549717418544</c:v>
                </c:pt>
                <c:pt idx="3">
                  <c:v>7.2555636779999997</c:v>
                </c:pt>
                <c:pt idx="4">
                  <c:v>10.44173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107712"/>
        <c:axId val="323671592"/>
        <c:extLst/>
      </c:scatterChart>
      <c:valAx>
        <c:axId val="43810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0333442694663163"/>
              <c:y val="0.93031585337547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23671592"/>
        <c:crosses val="autoZero"/>
        <c:crossBetween val="midCat"/>
      </c:valAx>
      <c:valAx>
        <c:axId val="3236715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Subtracted</a:t>
                </a:r>
                <a:r>
                  <a:rPr lang="en-US" baseline="0"/>
                  <a:t> </a:t>
                </a:r>
                <a:r>
                  <a:rPr lang="el-GR"/>
                  <a:t>Δ</a:t>
                </a:r>
                <a:r>
                  <a:rPr lang="en-US"/>
                  <a:t>T (℃)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43810771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262540768030909"/>
          <c:y val="7.1273103057239801E-2"/>
          <c:w val="0.48682981905549266"/>
          <c:h val="0.12919106265562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050"/>
              <a:t>b)</a:t>
            </a:r>
            <a:endParaRPr lang="zh-CN" altLang="en-US" sz="1050"/>
          </a:p>
        </c:rich>
      </c:tx>
      <c:layout>
        <c:manualLayout>
          <c:xMode val="edge"/>
          <c:yMode val="edge"/>
          <c:x val="2.3173231021963417E-3"/>
          <c:y val="9.07013147746775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748052368205465"/>
          <c:y val="6.8799166061689093E-2"/>
          <c:w val="0.82213670166229225"/>
          <c:h val="0.79357160142216243"/>
        </c:manualLayout>
      </c:layout>
      <c:scatterChart>
        <c:scatterStyle val="lineMarker"/>
        <c:varyColors val="0"/>
        <c:ser>
          <c:idx val="0"/>
          <c:order val="0"/>
          <c:tx>
            <c:v>15.3 mg Sludge-SWCNT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4077806461194944"/>
                  <c:y val="0.313390810325924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[3]Mass!$H$56:$H$62</c:f>
              <c:numCache>
                <c:formatCode>General</c:formatCode>
                <c:ptCount val="7"/>
                <c:pt idx="0">
                  <c:v>0</c:v>
                </c:pt>
                <c:pt idx="1">
                  <c:v>4.4999999999999998E-2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0.44999999999999996</c:v>
                </c:pt>
                <c:pt idx="6">
                  <c:v>0.375</c:v>
                </c:pt>
              </c:numCache>
            </c:numRef>
          </c:xVal>
          <c:yVal>
            <c:numRef>
              <c:f>[3]Mass!$I$56:$I$62</c:f>
              <c:numCache>
                <c:formatCode>General</c:formatCode>
                <c:ptCount val="7"/>
                <c:pt idx="0">
                  <c:v>0</c:v>
                </c:pt>
                <c:pt idx="1">
                  <c:v>0.90759024221053108</c:v>
                </c:pt>
                <c:pt idx="2">
                  <c:v>2.0654183241956519</c:v>
                </c:pt>
                <c:pt idx="3">
                  <c:v>2.7546794043532188</c:v>
                </c:pt>
                <c:pt idx="4">
                  <c:v>3.1561596586956515</c:v>
                </c:pt>
                <c:pt idx="5">
                  <c:v>5.2166882686956511</c:v>
                </c:pt>
                <c:pt idx="6">
                  <c:v>4.5189315381956519</c:v>
                </c:pt>
              </c:numCache>
            </c:numRef>
          </c:yVal>
          <c:smooth val="0"/>
        </c:ser>
        <c:ser>
          <c:idx val="1"/>
          <c:order val="1"/>
          <c:tx>
            <c:v>10.3 mg Sludge-SWCNT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14307505330946774"/>
                  <c:y val="-7.81678204858538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[3]Mass!$M$50:$M$55</c:f>
              <c:numCache>
                <c:formatCode>General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  <c:pt idx="5">
                  <c:v>0.39</c:v>
                </c:pt>
              </c:numCache>
            </c:numRef>
          </c:xVal>
          <c:yVal>
            <c:numRef>
              <c:f>[3]Mass!$R$50:$R$55</c:f>
              <c:numCache>
                <c:formatCode>General</c:formatCode>
                <c:ptCount val="6"/>
                <c:pt idx="0">
                  <c:v>0</c:v>
                </c:pt>
                <c:pt idx="1">
                  <c:v>0.4571326099999995</c:v>
                </c:pt>
                <c:pt idx="2">
                  <c:v>1.7231463299999989</c:v>
                </c:pt>
                <c:pt idx="3">
                  <c:v>2.7916646200000015</c:v>
                </c:pt>
                <c:pt idx="4">
                  <c:v>4.3819605700000004</c:v>
                </c:pt>
                <c:pt idx="5">
                  <c:v>6.5197333599999983</c:v>
                </c:pt>
              </c:numCache>
            </c:numRef>
          </c:yVal>
          <c:smooth val="0"/>
        </c:ser>
        <c:ser>
          <c:idx val="2"/>
          <c:order val="2"/>
          <c:tx>
            <c:v>4.7 mg Sludge-SWCNT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5491383531187042"/>
                  <c:y val="0.136414350645193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[3]Mass!$M$58:$M$63</c:f>
              <c:numCache>
                <c:formatCode>General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  <c:pt idx="5">
                  <c:v>0.3</c:v>
                </c:pt>
              </c:numCache>
            </c:numRef>
          </c:xVal>
          <c:yVal>
            <c:numRef>
              <c:f>[3]Mass!$R$58:$R$63</c:f>
              <c:numCache>
                <c:formatCode>General</c:formatCode>
                <c:ptCount val="6"/>
                <c:pt idx="0">
                  <c:v>0</c:v>
                </c:pt>
                <c:pt idx="1">
                  <c:v>0.77144195999999976</c:v>
                </c:pt>
                <c:pt idx="2">
                  <c:v>2.5902211629999998</c:v>
                </c:pt>
                <c:pt idx="3">
                  <c:v>4.0343113500000003</c:v>
                </c:pt>
                <c:pt idx="4">
                  <c:v>6.4600879999999998</c:v>
                </c:pt>
                <c:pt idx="5">
                  <c:v>7.2013151400000002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901912"/>
        <c:axId val="449260992"/>
        <c:extLst/>
      </c:scatterChart>
      <c:valAx>
        <c:axId val="435901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SWCNT Mass (mg)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0333442694663163"/>
              <c:y val="0.93031585337547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449260992"/>
        <c:crosses val="autoZero"/>
        <c:crossBetween val="midCat"/>
      </c:valAx>
      <c:valAx>
        <c:axId val="449260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Subtracted </a:t>
                </a:r>
                <a:r>
                  <a:rPr lang="el-GR"/>
                  <a:t>Δ</a:t>
                </a:r>
                <a:r>
                  <a:rPr lang="en-US"/>
                  <a:t>T (℃)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43590191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2853588953554718"/>
          <c:y val="8.4659544945416845E-2"/>
          <c:w val="0.51054818453503714"/>
          <c:h val="0.1275557327485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050"/>
              <a:t>c)</a:t>
            </a:r>
            <a:endParaRPr lang="zh-CN" altLang="en-US" sz="1050"/>
          </a:p>
        </c:rich>
      </c:tx>
      <c:layout>
        <c:manualLayout>
          <c:xMode val="edge"/>
          <c:yMode val="edge"/>
          <c:x val="2.3173231021963417E-3"/>
          <c:y val="4.230797369840964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748052368205465"/>
          <c:y val="6.8799166061689093E-2"/>
          <c:w val="0.82213670166229225"/>
          <c:h val="0.79357160142216243"/>
        </c:manualLayout>
      </c:layout>
      <c:scatterChart>
        <c:scatterStyle val="lineMarker"/>
        <c:varyColors val="0"/>
        <c:ser>
          <c:idx val="0"/>
          <c:order val="0"/>
          <c:tx>
            <c:v>15.3 mg Sludge-MWCNT-COOH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2996835420135186"/>
                  <c:y val="0.370028240140868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[3]Mass!$J$56:$J$62</c:f>
              <c:numCache>
                <c:formatCode>General</c:formatCode>
                <c:ptCount val="7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0.39</c:v>
                </c:pt>
                <c:pt idx="6">
                  <c:v>0.54</c:v>
                </c:pt>
              </c:numCache>
            </c:numRef>
          </c:xVal>
          <c:yVal>
            <c:numRef>
              <c:f>[3]Mass!$K$56:$K$62</c:f>
              <c:numCache>
                <c:formatCode>General</c:formatCode>
                <c:ptCount val="7"/>
                <c:pt idx="0">
                  <c:v>0</c:v>
                </c:pt>
                <c:pt idx="1">
                  <c:v>0.6284530636956509</c:v>
                </c:pt>
                <c:pt idx="2">
                  <c:v>1.1620797520289856</c:v>
                </c:pt>
                <c:pt idx="3">
                  <c:v>1.3352800186956517</c:v>
                </c:pt>
                <c:pt idx="4">
                  <c:v>1.917538408964667</c:v>
                </c:pt>
                <c:pt idx="5">
                  <c:v>2.2944864411956507</c:v>
                </c:pt>
                <c:pt idx="6">
                  <c:v>3.4227047586956525</c:v>
                </c:pt>
              </c:numCache>
            </c:numRef>
          </c:yVal>
          <c:smooth val="0"/>
        </c:ser>
        <c:ser>
          <c:idx val="1"/>
          <c:order val="1"/>
          <c:tx>
            <c:v>10.3 mg Sludge-MWCNT-COOH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2022127776841358"/>
                  <c:y val="-2.96856947759578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[3]Mass!$M$50:$M$56</c:f>
              <c:numCache>
                <c:formatCode>General</c:formatCode>
                <c:ptCount val="7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  <c:pt idx="5">
                  <c:v>0.39</c:v>
                </c:pt>
              </c:numCache>
            </c:numRef>
          </c:xVal>
          <c:yVal>
            <c:numRef>
              <c:f>[3]Mass!$S$50:$S$55</c:f>
              <c:numCache>
                <c:formatCode>General</c:formatCode>
                <c:ptCount val="6"/>
                <c:pt idx="0">
                  <c:v>0</c:v>
                </c:pt>
                <c:pt idx="1">
                  <c:v>0.30025780000000046</c:v>
                </c:pt>
                <c:pt idx="2">
                  <c:v>0.90092930999999976</c:v>
                </c:pt>
                <c:pt idx="3">
                  <c:v>1.1921293099999988</c:v>
                </c:pt>
                <c:pt idx="4">
                  <c:v>1.7098029100000007</c:v>
                </c:pt>
                <c:pt idx="5">
                  <c:v>3.7596773849999998</c:v>
                </c:pt>
              </c:numCache>
            </c:numRef>
          </c:yVal>
          <c:smooth val="0"/>
        </c:ser>
        <c:ser>
          <c:idx val="2"/>
          <c:order val="2"/>
          <c:tx>
            <c:v>4.7 mg Sludge-MWCNT-COOH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6359213326414912"/>
                  <c:y val="0.240912322668527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[3]Mass!$M$58:$M$63</c:f>
              <c:numCache>
                <c:formatCode>General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  <c:pt idx="5">
                  <c:v>0.3</c:v>
                </c:pt>
              </c:numCache>
            </c:numRef>
          </c:xVal>
          <c:yVal>
            <c:numRef>
              <c:f>[3]Mass!$S$58:$S$63</c:f>
              <c:numCache>
                <c:formatCode>General</c:formatCode>
                <c:ptCount val="6"/>
                <c:pt idx="0">
                  <c:v>0</c:v>
                </c:pt>
                <c:pt idx="1">
                  <c:v>0.48613127500000086</c:v>
                </c:pt>
                <c:pt idx="2">
                  <c:v>1.369519330000001</c:v>
                </c:pt>
                <c:pt idx="3">
                  <c:v>1.9919310610527998</c:v>
                </c:pt>
                <c:pt idx="4">
                  <c:v>2.595336525</c:v>
                </c:pt>
                <c:pt idx="5">
                  <c:v>3.6151104999999975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810952"/>
        <c:axId val="389811344"/>
        <c:extLst/>
      </c:scatterChart>
      <c:valAx>
        <c:axId val="389810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MWCNT-COOH Mass (mg)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38734935835208995"/>
              <c:y val="0.938754775906176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89811344"/>
        <c:crosses val="autoZero"/>
        <c:crossBetween val="midCat"/>
      </c:valAx>
      <c:valAx>
        <c:axId val="38981134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Subtracted </a:t>
                </a:r>
                <a:r>
                  <a:rPr lang="el-GR"/>
                  <a:t>Δ</a:t>
                </a:r>
                <a:r>
                  <a:rPr lang="en-US"/>
                  <a:t>T (℃)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8981095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7395113454854841"/>
          <c:y val="0.70781396227910531"/>
          <c:w val="0.65177145288031657"/>
          <c:h val="0.148084653975215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b)</a:t>
            </a:r>
          </a:p>
        </c:rich>
      </c:tx>
      <c:layout>
        <c:manualLayout>
          <c:xMode val="edge"/>
          <c:yMode val="edge"/>
          <c:x val="1.4210284112039441E-3"/>
          <c:y val="3.28160199487259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58392930241519"/>
          <c:y val="6.4344472184879334E-2"/>
          <c:w val="0.82504060081174857"/>
          <c:h val="0.80604329946561559"/>
        </c:manualLayout>
      </c:layout>
      <c:scatterChart>
        <c:scatterStyle val="lineMarker"/>
        <c:varyColors val="0"/>
        <c:ser>
          <c:idx val="3"/>
          <c:order val="0"/>
          <c:tx>
            <c:v>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7.7948876421028407E-2"/>
                  <c:y val="0.1871199026950899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Sand!$X$8:$X$14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2.8023968858079899E-2</c:v>
                  </c:pt>
                  <c:pt idx="2">
                    <c:v>3.4099865651814332E-2</c:v>
                  </c:pt>
                  <c:pt idx="3">
                    <c:v>7.9748239695704312E-2</c:v>
                  </c:pt>
                  <c:pt idx="4">
                    <c:v>0.1804702044216514</c:v>
                  </c:pt>
                  <c:pt idx="5">
                    <c:v>0.15506102467414024</c:v>
                  </c:pt>
                  <c:pt idx="6">
                    <c:v>0.13369500661036057</c:v>
                  </c:pt>
                </c:numCache>
              </c:numRef>
            </c:plus>
            <c:minus>
              <c:numRef>
                <c:f>Sand!$X$8:$X$14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2.8023968858079899E-2</c:v>
                  </c:pt>
                  <c:pt idx="2">
                    <c:v>3.4099865651814332E-2</c:v>
                  </c:pt>
                  <c:pt idx="3">
                    <c:v>7.9748239695704312E-2</c:v>
                  </c:pt>
                  <c:pt idx="4">
                    <c:v>0.1804702044216514</c:v>
                  </c:pt>
                  <c:pt idx="5">
                    <c:v>0.15506102467414024</c:v>
                  </c:pt>
                  <c:pt idx="6">
                    <c:v>0.13369500661036057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Sand!$T$8:$T$14</c:f>
              <c:numCache>
                <c:formatCode>General</c:formatCode>
                <c:ptCount val="7"/>
                <c:pt idx="0">
                  <c:v>0</c:v>
                </c:pt>
                <c:pt idx="1">
                  <c:v>2.5999999999999999E-2</c:v>
                </c:pt>
                <c:pt idx="2">
                  <c:v>5.1999999999999998E-2</c:v>
                </c:pt>
                <c:pt idx="3">
                  <c:v>0.1353</c:v>
                </c:pt>
                <c:pt idx="4">
                  <c:v>0.2596</c:v>
                </c:pt>
                <c:pt idx="5">
                  <c:v>0.39060000000000006</c:v>
                </c:pt>
                <c:pt idx="6">
                  <c:v>0.54600000000000004</c:v>
                </c:pt>
              </c:numCache>
            </c:numRef>
          </c:xVal>
          <c:yVal>
            <c:numRef>
              <c:f>Sand!$W$8:$W$14</c:f>
              <c:numCache>
                <c:formatCode>General</c:formatCode>
                <c:ptCount val="7"/>
                <c:pt idx="0">
                  <c:v>3.1256895260000001E-3</c:v>
                </c:pt>
                <c:pt idx="1">
                  <c:v>0.77443938794713318</c:v>
                </c:pt>
                <c:pt idx="2">
                  <c:v>1.3541510400000003</c:v>
                </c:pt>
                <c:pt idx="3">
                  <c:v>3.7132737995948779</c:v>
                </c:pt>
                <c:pt idx="4">
                  <c:v>7.6452253231615162</c:v>
                </c:pt>
                <c:pt idx="5">
                  <c:v>10.651957416403331</c:v>
                </c:pt>
                <c:pt idx="6">
                  <c:v>14.60389563532498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Sand!$D$6</c:f>
              <c:strCache>
                <c:ptCount val="1"/>
                <c:pt idx="0">
                  <c:v>MWCNT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26604467828371609"/>
                  <c:y val="0.192946156120728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Sand!$I$8:$I$16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9.991611647986124E-3</c:v>
                  </c:pt>
                  <c:pt idx="2">
                    <c:v>0.10701331919346722</c:v>
                  </c:pt>
                  <c:pt idx="3">
                    <c:v>6.2464904384558734E-2</c:v>
                  </c:pt>
                  <c:pt idx="4">
                    <c:v>8.88886640938122E-2</c:v>
                  </c:pt>
                  <c:pt idx="5">
                    <c:v>0.43725640138182692</c:v>
                  </c:pt>
                  <c:pt idx="6">
                    <c:v>0.2473121027889886</c:v>
                  </c:pt>
                  <c:pt idx="7">
                    <c:v>0.16359652469006106</c:v>
                  </c:pt>
                  <c:pt idx="8">
                    <c:v>0.47270396298889428</c:v>
                  </c:pt>
                </c:numCache>
              </c:numRef>
            </c:plus>
            <c:minus>
              <c:numRef>
                <c:f>Sand!$I$8:$I$16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9.991611647986124E-3</c:v>
                  </c:pt>
                  <c:pt idx="2">
                    <c:v>0.10701331919346722</c:v>
                  </c:pt>
                  <c:pt idx="3">
                    <c:v>6.2464904384558734E-2</c:v>
                  </c:pt>
                  <c:pt idx="4">
                    <c:v>8.88886640938122E-2</c:v>
                  </c:pt>
                  <c:pt idx="5">
                    <c:v>0.43725640138182692</c:v>
                  </c:pt>
                  <c:pt idx="6">
                    <c:v>0.2473121027889886</c:v>
                  </c:pt>
                  <c:pt idx="7">
                    <c:v>0.16359652469006106</c:v>
                  </c:pt>
                  <c:pt idx="8">
                    <c:v>0.47270396298889428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Sand!$D$8:$D$15</c:f>
              <c:numCache>
                <c:formatCode>General</c:formatCode>
                <c:ptCount val="8"/>
                <c:pt idx="0">
                  <c:v>0</c:v>
                </c:pt>
                <c:pt idx="1">
                  <c:v>8.5630407616780731E-4</c:v>
                </c:pt>
                <c:pt idx="2">
                  <c:v>7.0559999999999998E-2</c:v>
                </c:pt>
                <c:pt idx="3">
                  <c:v>5.2000000000000005E-2</c:v>
                </c:pt>
                <c:pt idx="4">
                  <c:v>2.7459999999999998E-2</c:v>
                </c:pt>
                <c:pt idx="5">
                  <c:v>0.1148</c:v>
                </c:pt>
                <c:pt idx="6">
                  <c:v>0.26200000000000001</c:v>
                </c:pt>
                <c:pt idx="7">
                  <c:v>0.40674937965260549</c:v>
                </c:pt>
              </c:numCache>
            </c:numRef>
          </c:xVal>
          <c:yVal>
            <c:numRef>
              <c:f>Sand!$H$8:$H$15</c:f>
              <c:numCache>
                <c:formatCode>General</c:formatCode>
                <c:ptCount val="8"/>
                <c:pt idx="0">
                  <c:v>3.1256895260000001E-3</c:v>
                </c:pt>
                <c:pt idx="1">
                  <c:v>0.50603601664465003</c:v>
                </c:pt>
                <c:pt idx="2">
                  <c:v>2.185751099206461</c:v>
                </c:pt>
                <c:pt idx="3">
                  <c:v>1.4903705313029079</c:v>
                </c:pt>
                <c:pt idx="4">
                  <c:v>1.2799847491573051</c:v>
                </c:pt>
                <c:pt idx="5">
                  <c:v>3.8115664707561514</c:v>
                </c:pt>
                <c:pt idx="6">
                  <c:v>9.8253091668244874</c:v>
                </c:pt>
                <c:pt idx="7">
                  <c:v>15.627054158495403</c:v>
                </c:pt>
              </c:numCache>
            </c:numRef>
          </c:yVal>
          <c:smooth val="0"/>
        </c:ser>
        <c:ser>
          <c:idx val="5"/>
          <c:order val="2"/>
          <c:tx>
            <c:v>MWCNT-COOH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5.5803708787166131E-2"/>
                  <c:y val="0.242301267219646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Sand!$P$8:$P$13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4.9532063705454654E-2</c:v>
                  </c:pt>
                  <c:pt idx="2">
                    <c:v>1.7970751011163087E-3</c:v>
                  </c:pt>
                  <c:pt idx="3">
                    <c:v>0.20684442400873079</c:v>
                  </c:pt>
                  <c:pt idx="4">
                    <c:v>7.4723094133999995E-2</c:v>
                  </c:pt>
                  <c:pt idx="5">
                    <c:v>0.18733426127580186</c:v>
                  </c:pt>
                </c:numCache>
              </c:numRef>
            </c:plus>
            <c:minus>
              <c:numRef>
                <c:f>Sand!$P$8:$P$13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4.9532063705454654E-2</c:v>
                  </c:pt>
                  <c:pt idx="2">
                    <c:v>1.7970751011163087E-3</c:v>
                  </c:pt>
                  <c:pt idx="3">
                    <c:v>0.20684442400873079</c:v>
                  </c:pt>
                  <c:pt idx="4">
                    <c:v>7.4723094133999995E-2</c:v>
                  </c:pt>
                  <c:pt idx="5">
                    <c:v>0.18733426127580186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70AD47"/>
                </a:solidFill>
                <a:round/>
              </a:ln>
              <a:effectLst/>
            </c:spPr>
          </c:errBars>
          <c:xVal>
            <c:numRef>
              <c:f>Sand!$L$8:$L$13</c:f>
              <c:numCache>
                <c:formatCode>General</c:formatCode>
                <c:ptCount val="6"/>
                <c:pt idx="0">
                  <c:v>0</c:v>
                </c:pt>
                <c:pt idx="1">
                  <c:v>6.9550000000000001E-2</c:v>
                </c:pt>
                <c:pt idx="2">
                  <c:v>0.13</c:v>
                </c:pt>
                <c:pt idx="3">
                  <c:v>0.25740000000000002</c:v>
                </c:pt>
                <c:pt idx="4">
                  <c:v>0.38480000000000003</c:v>
                </c:pt>
                <c:pt idx="5">
                  <c:v>0.504</c:v>
                </c:pt>
              </c:numCache>
            </c:numRef>
          </c:xVal>
          <c:yVal>
            <c:numRef>
              <c:f>Sand!$O$8:$O$13</c:f>
              <c:numCache>
                <c:formatCode>General</c:formatCode>
                <c:ptCount val="6"/>
                <c:pt idx="0">
                  <c:v>3.1256895260000001E-3</c:v>
                </c:pt>
                <c:pt idx="1">
                  <c:v>0.65721454333333185</c:v>
                </c:pt>
                <c:pt idx="2">
                  <c:v>1.5391658676624342</c:v>
                </c:pt>
                <c:pt idx="3">
                  <c:v>4.7435528808286369</c:v>
                </c:pt>
                <c:pt idx="4">
                  <c:v>6.5117703099999993</c:v>
                </c:pt>
                <c:pt idx="5">
                  <c:v>7.5658308604854696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858008"/>
        <c:axId val="316858400"/>
        <c:extLst/>
      </c:scatterChart>
      <c:valAx>
        <c:axId val="316858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CNT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6858400"/>
        <c:crosses val="autoZero"/>
        <c:crossBetween val="midCat"/>
      </c:valAx>
      <c:valAx>
        <c:axId val="3168584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685800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1614340447505224"/>
          <c:y val="7.9982761301178817E-2"/>
          <c:w val="0.34865930367266784"/>
          <c:h val="0.19071541799849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SWCNTs  at 100W, 20s microwave </a:t>
            </a:r>
          </a:p>
        </c:rich>
      </c:tx>
      <c:layout>
        <c:manualLayout>
          <c:xMode val="edge"/>
          <c:yMode val="edge"/>
          <c:x val="0.19907006081426371"/>
          <c:y val="3.05937176263008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62110011477923"/>
          <c:y val="8.5666069983929838E-2"/>
          <c:w val="0.82441352896637154"/>
          <c:h val="0.7583988586154764"/>
        </c:manualLayout>
      </c:layout>
      <c:scatterChart>
        <c:scatterStyle val="lineMarker"/>
        <c:varyColors val="0"/>
        <c:ser>
          <c:idx val="3"/>
          <c:order val="0"/>
          <c:tx>
            <c:v>Sand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6906392052675373"/>
                  <c:y val="0.123538950936572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Comparison!$L$6:$L$12</c:f>
              <c:numCache>
                <c:formatCode>General</c:formatCode>
                <c:ptCount val="7"/>
                <c:pt idx="0">
                  <c:v>0</c:v>
                </c:pt>
                <c:pt idx="1">
                  <c:v>2.5999999999999999E-2</c:v>
                </c:pt>
                <c:pt idx="2">
                  <c:v>5.1999999999999998E-2</c:v>
                </c:pt>
                <c:pt idx="3">
                  <c:v>0.1353</c:v>
                </c:pt>
                <c:pt idx="4">
                  <c:v>0.2596</c:v>
                </c:pt>
                <c:pt idx="5">
                  <c:v>0.39060000000000006</c:v>
                </c:pt>
                <c:pt idx="6">
                  <c:v>0.54600000000000004</c:v>
                </c:pt>
              </c:numCache>
            </c:numRef>
          </c:xVal>
          <c:yVal>
            <c:numRef>
              <c:f>Comparison!$M$6:$M$12</c:f>
              <c:numCache>
                <c:formatCode>General</c:formatCode>
                <c:ptCount val="7"/>
                <c:pt idx="0">
                  <c:v>3.8029634359999995E-3</c:v>
                </c:pt>
                <c:pt idx="1">
                  <c:v>0.4682299572370236</c:v>
                </c:pt>
                <c:pt idx="2">
                  <c:v>0.67798786333333305</c:v>
                </c:pt>
                <c:pt idx="3">
                  <c:v>3.4192555504327409</c:v>
                </c:pt>
                <c:pt idx="4">
                  <c:v>6.334559053255675</c:v>
                </c:pt>
                <c:pt idx="5">
                  <c:v>8.7384798172203428</c:v>
                </c:pt>
                <c:pt idx="6">
                  <c:v>11.53830105294591</c:v>
                </c:pt>
              </c:numCache>
            </c:numRef>
          </c:yVal>
          <c:smooth val="0"/>
        </c:ser>
        <c:ser>
          <c:idx val="4"/>
          <c:order val="1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34338655296546428"/>
                  <c:y val="-8.99859671006470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Comparison!$J$20:$J$28</c:f>
              <c:numCache>
                <c:formatCode>General</c:formatCode>
                <c:ptCount val="9"/>
                <c:pt idx="0">
                  <c:v>0</c:v>
                </c:pt>
                <c:pt idx="1">
                  <c:v>1.0500000000000001E-2</c:v>
                </c:pt>
                <c:pt idx="2">
                  <c:v>0.03</c:v>
                </c:pt>
                <c:pt idx="3">
                  <c:v>0.06</c:v>
                </c:pt>
                <c:pt idx="4">
                  <c:v>0.09</c:v>
                </c:pt>
                <c:pt idx="5">
                  <c:v>0.15</c:v>
                </c:pt>
                <c:pt idx="6">
                  <c:v>0.24</c:v>
                </c:pt>
                <c:pt idx="7">
                  <c:v>0.3</c:v>
                </c:pt>
              </c:numCache>
            </c:numRef>
          </c:xVal>
          <c:yVal>
            <c:numRef>
              <c:f>Comparison!$N$20:$N$28</c:f>
              <c:numCache>
                <c:formatCode>General</c:formatCode>
                <c:ptCount val="9"/>
                <c:pt idx="0">
                  <c:v>0</c:v>
                </c:pt>
                <c:pt idx="1">
                  <c:v>0.1737269418333347</c:v>
                </c:pt>
                <c:pt idx="2">
                  <c:v>0.53990645333333265</c:v>
                </c:pt>
                <c:pt idx="3">
                  <c:v>0.76188308000000182</c:v>
                </c:pt>
                <c:pt idx="4">
                  <c:v>1.5840660466666681</c:v>
                </c:pt>
                <c:pt idx="5">
                  <c:v>2.3886429766666675</c:v>
                </c:pt>
                <c:pt idx="6">
                  <c:v>4.0377548116666668</c:v>
                </c:pt>
                <c:pt idx="7">
                  <c:v>5.0974364700000008</c:v>
                </c:pt>
              </c:numCache>
            </c:numRef>
          </c:yVal>
          <c:smooth val="0"/>
        </c:ser>
        <c:ser>
          <c:idx val="5"/>
          <c:order val="2"/>
          <c:tx>
            <c:v>Sludge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6.8267820277406036E-2"/>
                  <c:y val="0.1544543407483900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Comparison!$J$34:$J$42</c:f>
              <c:numCache>
                <c:formatCode>General</c:formatCode>
                <c:ptCount val="9"/>
                <c:pt idx="0">
                  <c:v>0</c:v>
                </c:pt>
                <c:pt idx="1">
                  <c:v>4.4999999999999998E-2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0.44999999999999996</c:v>
                </c:pt>
                <c:pt idx="6">
                  <c:v>0.375</c:v>
                </c:pt>
              </c:numCache>
            </c:numRef>
          </c:xVal>
          <c:yVal>
            <c:numRef>
              <c:f>Comparison!$N$34:$N$42</c:f>
              <c:numCache>
                <c:formatCode>General</c:formatCode>
                <c:ptCount val="9"/>
                <c:pt idx="0">
                  <c:v>0</c:v>
                </c:pt>
                <c:pt idx="1">
                  <c:v>0.73685541352662232</c:v>
                </c:pt>
                <c:pt idx="2">
                  <c:v>1.3964326905556981</c:v>
                </c:pt>
                <c:pt idx="3">
                  <c:v>2.2926669730434801</c:v>
                </c:pt>
                <c:pt idx="4">
                  <c:v>2.8334539130434786</c:v>
                </c:pt>
                <c:pt idx="5">
                  <c:v>4.3767942075434769</c:v>
                </c:pt>
                <c:pt idx="6">
                  <c:v>4.0790967130434792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357928"/>
        <c:axId val="251358320"/>
        <c:extLst/>
      </c:scatterChart>
      <c:valAx>
        <c:axId val="25135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SWCNTs Mass (mg)</a:t>
                </a:r>
              </a:p>
            </c:rich>
          </c:tx>
          <c:layout>
            <c:manualLayout>
              <c:xMode val="edge"/>
              <c:yMode val="edge"/>
              <c:x val="0.39141306941375409"/>
              <c:y val="0.94280761934461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1358320"/>
        <c:crosses val="autoZero"/>
        <c:crossBetween val="midCat"/>
      </c:valAx>
      <c:valAx>
        <c:axId val="25135832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135792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4783687612171006"/>
          <c:y val="0.12341545178139861"/>
          <c:w val="0.19932356505895479"/>
          <c:h val="0.258082214095623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a)</a:t>
            </a:r>
          </a:p>
        </c:rich>
      </c:tx>
      <c:layout>
        <c:manualLayout>
          <c:xMode val="edge"/>
          <c:yMode val="edge"/>
          <c:x val="1.4210284112039441E-3"/>
          <c:y val="3.28160199487259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832602920047837"/>
          <c:y val="0.10309982172730502"/>
          <c:w val="0.8122985009136855"/>
          <c:h val="0.74017578346639723"/>
        </c:manualLayout>
      </c:layout>
      <c:scatterChart>
        <c:scatterStyle val="lineMarker"/>
        <c:varyColors val="0"/>
        <c:ser>
          <c:idx val="3"/>
          <c:order val="0"/>
          <c:tx>
            <c:v>Sand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4.6883569981886822E-2"/>
                  <c:y val="-2.650268347452878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Comparison!$L$6:$L$11</c:f>
              <c:numCache>
                <c:formatCode>General</c:formatCode>
                <c:ptCount val="6"/>
                <c:pt idx="0">
                  <c:v>0</c:v>
                </c:pt>
                <c:pt idx="1">
                  <c:v>2.5999999999999999E-2</c:v>
                </c:pt>
                <c:pt idx="2">
                  <c:v>5.1999999999999998E-2</c:v>
                </c:pt>
                <c:pt idx="3">
                  <c:v>0.1353</c:v>
                </c:pt>
                <c:pt idx="4">
                  <c:v>0.2596</c:v>
                </c:pt>
                <c:pt idx="5">
                  <c:v>0.39060000000000006</c:v>
                </c:pt>
              </c:numCache>
            </c:numRef>
          </c:xVal>
          <c:yVal>
            <c:numRef>
              <c:f>Comparison!$N$6:$N$11</c:f>
              <c:numCache>
                <c:formatCode>General</c:formatCode>
                <c:ptCount val="6"/>
                <c:pt idx="0">
                  <c:v>3.1256895260000001E-3</c:v>
                </c:pt>
                <c:pt idx="1">
                  <c:v>0.77443938794713318</c:v>
                </c:pt>
                <c:pt idx="2">
                  <c:v>1.3541510400000003</c:v>
                </c:pt>
                <c:pt idx="3">
                  <c:v>3.7132737995948779</c:v>
                </c:pt>
                <c:pt idx="4">
                  <c:v>7.6452253231615162</c:v>
                </c:pt>
                <c:pt idx="5">
                  <c:v>10.651957416403331</c:v>
                </c:pt>
              </c:numCache>
            </c:numRef>
          </c:yVal>
          <c:smooth val="0"/>
        </c:ser>
        <c:ser>
          <c:idx val="4"/>
          <c:order val="1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4213835846971735"/>
                  <c:y val="-6.72976091403208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Comparison!$J$20:$J$28</c:f>
              <c:numCache>
                <c:formatCode>General</c:formatCode>
                <c:ptCount val="9"/>
                <c:pt idx="0">
                  <c:v>0</c:v>
                </c:pt>
                <c:pt idx="1">
                  <c:v>1.0500000000000001E-2</c:v>
                </c:pt>
                <c:pt idx="2">
                  <c:v>0.03</c:v>
                </c:pt>
                <c:pt idx="3">
                  <c:v>0.06</c:v>
                </c:pt>
                <c:pt idx="4">
                  <c:v>0.09</c:v>
                </c:pt>
                <c:pt idx="5">
                  <c:v>0.15</c:v>
                </c:pt>
                <c:pt idx="6">
                  <c:v>0.24</c:v>
                </c:pt>
                <c:pt idx="7">
                  <c:v>0.3</c:v>
                </c:pt>
              </c:numCache>
            </c:numRef>
          </c:xVal>
          <c:yVal>
            <c:numRef>
              <c:f>Comparison!$O$20:$O$28</c:f>
              <c:numCache>
                <c:formatCode>General</c:formatCode>
                <c:ptCount val="9"/>
                <c:pt idx="0">
                  <c:v>0</c:v>
                </c:pt>
                <c:pt idx="1">
                  <c:v>0.46771124666666575</c:v>
                </c:pt>
                <c:pt idx="2">
                  <c:v>0.74112669333333048</c:v>
                </c:pt>
                <c:pt idx="3">
                  <c:v>1.0111639299999975</c:v>
                </c:pt>
                <c:pt idx="4">
                  <c:v>1.5249847966666639</c:v>
                </c:pt>
                <c:pt idx="5">
                  <c:v>2.9601204566666635</c:v>
                </c:pt>
                <c:pt idx="6">
                  <c:v>4.5089343199999989</c:v>
                </c:pt>
                <c:pt idx="7">
                  <c:v>6.3544243699999976</c:v>
                </c:pt>
              </c:numCache>
            </c:numRef>
          </c:yVal>
          <c:smooth val="0"/>
        </c:ser>
        <c:ser>
          <c:idx val="5"/>
          <c:order val="2"/>
          <c:tx>
            <c:v>Sludge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1.9685373808396276E-2"/>
                  <c:y val="0.168989369871201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Comparison!$J$34:$J$42</c:f>
              <c:numCache>
                <c:formatCode>General</c:formatCode>
                <c:ptCount val="9"/>
                <c:pt idx="0">
                  <c:v>0</c:v>
                </c:pt>
                <c:pt idx="1">
                  <c:v>4.4999999999999998E-2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0.44999999999999996</c:v>
                </c:pt>
                <c:pt idx="6">
                  <c:v>0.375</c:v>
                </c:pt>
              </c:numCache>
            </c:numRef>
          </c:xVal>
          <c:yVal>
            <c:numRef>
              <c:f>Comparison!$O$34:$O$42</c:f>
              <c:numCache>
                <c:formatCode>General</c:formatCode>
                <c:ptCount val="9"/>
                <c:pt idx="0">
                  <c:v>0</c:v>
                </c:pt>
                <c:pt idx="1">
                  <c:v>0.65907654699121787</c:v>
                </c:pt>
                <c:pt idx="2">
                  <c:v>1.8169046289763404</c:v>
                </c:pt>
                <c:pt idx="3">
                  <c:v>2.5061657091339056</c:v>
                </c:pt>
                <c:pt idx="4">
                  <c:v>2.9076459634763383</c:v>
                </c:pt>
                <c:pt idx="5">
                  <c:v>4.9681745734763378</c:v>
                </c:pt>
                <c:pt idx="6">
                  <c:v>4.2704178429763386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359104"/>
        <c:axId val="251359496"/>
        <c:extLst/>
      </c:scatterChart>
      <c:valAx>
        <c:axId val="251359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SWCNT Mass (mg)</a:t>
                </a:r>
              </a:p>
            </c:rich>
          </c:tx>
          <c:layout>
            <c:manualLayout>
              <c:xMode val="edge"/>
              <c:yMode val="edge"/>
              <c:x val="0.34292301765031663"/>
              <c:y val="0.9344456942882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1359496"/>
        <c:crosses val="autoZero"/>
        <c:crossBetween val="midCat"/>
      </c:valAx>
      <c:valAx>
        <c:axId val="2513594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Subtracted ∆T(°C)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135910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4247249572930515"/>
          <c:y val="0.10691380161638211"/>
          <c:w val="0.1635618009798111"/>
          <c:h val="0.17091343780047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MWCNTs  at 100W, 20s microwave </a:t>
            </a:r>
          </a:p>
        </c:rich>
      </c:tx>
      <c:layout>
        <c:manualLayout>
          <c:xMode val="edge"/>
          <c:yMode val="edge"/>
          <c:x val="0.19907005695434313"/>
          <c:y val="3.05917205893817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0922141649289886"/>
          <c:y val="4.4987165065905221E-2"/>
          <c:w val="0.85520546097745676"/>
          <c:h val="0.822322704711416"/>
        </c:manualLayout>
      </c:layout>
      <c:scatterChart>
        <c:scatterStyle val="lineMarker"/>
        <c:varyColors val="0"/>
        <c:ser>
          <c:idx val="3"/>
          <c:order val="0"/>
          <c:tx>
            <c:v>Sand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091375929787433"/>
                  <c:y val="3.09204542501494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Comparison!$B$6:$B$14</c:f>
              <c:numCache>
                <c:formatCode>General</c:formatCode>
                <c:ptCount val="9"/>
                <c:pt idx="0">
                  <c:v>0</c:v>
                </c:pt>
                <c:pt idx="1">
                  <c:v>8.5630407616780731E-4</c:v>
                </c:pt>
                <c:pt idx="2">
                  <c:v>7.0559999999999998E-2</c:v>
                </c:pt>
                <c:pt idx="3">
                  <c:v>5.2000000000000005E-2</c:v>
                </c:pt>
                <c:pt idx="4">
                  <c:v>2.7459999999999998E-2</c:v>
                </c:pt>
                <c:pt idx="5">
                  <c:v>0.1148</c:v>
                </c:pt>
                <c:pt idx="6">
                  <c:v>0.26200000000000001</c:v>
                </c:pt>
                <c:pt idx="7">
                  <c:v>0.40674937965260549</c:v>
                </c:pt>
                <c:pt idx="8">
                  <c:v>0.51200000000000001</c:v>
                </c:pt>
              </c:numCache>
            </c:numRef>
          </c:xVal>
          <c:yVal>
            <c:numRef>
              <c:f>Comparison!$C$6:$C$14</c:f>
              <c:numCache>
                <c:formatCode>General</c:formatCode>
                <c:ptCount val="9"/>
                <c:pt idx="0">
                  <c:v>3.8029634359999995E-3</c:v>
                </c:pt>
                <c:pt idx="1">
                  <c:v>0.34682415897678287</c:v>
                </c:pt>
                <c:pt idx="2">
                  <c:v>1.7015093866666671</c:v>
                </c:pt>
                <c:pt idx="3">
                  <c:v>1.3074747989272524</c:v>
                </c:pt>
                <c:pt idx="4">
                  <c:v>0.77714165710260019</c:v>
                </c:pt>
                <c:pt idx="5">
                  <c:v>3.3516067290451872</c:v>
                </c:pt>
                <c:pt idx="6">
                  <c:v>8.6308201423408786</c:v>
                </c:pt>
                <c:pt idx="7">
                  <c:v>11.838839258579926</c:v>
                </c:pt>
                <c:pt idx="8">
                  <c:v>14.854117888168764</c:v>
                </c:pt>
              </c:numCache>
            </c:numRef>
          </c:yVal>
          <c:smooth val="0"/>
        </c:ser>
        <c:ser>
          <c:idx val="4"/>
          <c:order val="1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3689309389685973"/>
                  <c:y val="-0.180047616998694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Comparison!$B$20:$B$29</c:f>
              <c:numCache>
                <c:formatCode>General</c:formatCode>
                <c:ptCount val="10"/>
                <c:pt idx="0">
                  <c:v>0</c:v>
                </c:pt>
                <c:pt idx="1">
                  <c:v>8.9999999999999993E-3</c:v>
                </c:pt>
                <c:pt idx="2">
                  <c:v>2.8700000000000003E-2</c:v>
                </c:pt>
                <c:pt idx="3">
                  <c:v>4.2350000000000006E-2</c:v>
                </c:pt>
                <c:pt idx="4">
                  <c:v>5.5024875621890554E-2</c:v>
                </c:pt>
                <c:pt idx="5">
                  <c:v>9.4500000000000001E-2</c:v>
                </c:pt>
                <c:pt idx="6">
                  <c:v>0.1575</c:v>
                </c:pt>
                <c:pt idx="7">
                  <c:v>0.24</c:v>
                </c:pt>
                <c:pt idx="8">
                  <c:v>0.3</c:v>
                </c:pt>
              </c:numCache>
            </c:numRef>
          </c:xVal>
          <c:yVal>
            <c:numRef>
              <c:f>Comparison!$F$20:$F$29</c:f>
              <c:numCache>
                <c:formatCode>General</c:formatCode>
                <c:ptCount val="10"/>
                <c:pt idx="0">
                  <c:v>0</c:v>
                </c:pt>
                <c:pt idx="1">
                  <c:v>0.211441610000002</c:v>
                </c:pt>
                <c:pt idx="2">
                  <c:v>0.61962702146327109</c:v>
                </c:pt>
                <c:pt idx="3">
                  <c:v>1.0315650079924243</c:v>
                </c:pt>
                <c:pt idx="4">
                  <c:v>1.17759741796518</c:v>
                </c:pt>
                <c:pt idx="5">
                  <c:v>1.9184313166666664</c:v>
                </c:pt>
                <c:pt idx="6">
                  <c:v>4.139495403333334</c:v>
                </c:pt>
                <c:pt idx="7">
                  <c:v>6.133747809762971</c:v>
                </c:pt>
                <c:pt idx="8">
                  <c:v>8.6093609516666678</c:v>
                </c:pt>
              </c:numCache>
            </c:numRef>
          </c:yVal>
          <c:smooth val="0"/>
        </c:ser>
        <c:ser>
          <c:idx val="5"/>
          <c:order val="2"/>
          <c:tx>
            <c:v>Sludge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36902555164794126"/>
                  <c:y val="0.1865356929393726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/>
                      <a:t>    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Comparison!$B$34:$B$43</c:f>
              <c:numCache>
                <c:formatCode>General</c:formatCode>
                <c:ptCount val="10"/>
                <c:pt idx="0">
                  <c:v>0</c:v>
                </c:pt>
                <c:pt idx="1">
                  <c:v>0.22499999999999998</c:v>
                </c:pt>
                <c:pt idx="2">
                  <c:v>0.15</c:v>
                </c:pt>
                <c:pt idx="3">
                  <c:v>1.4999999999999999E-2</c:v>
                </c:pt>
                <c:pt idx="4">
                  <c:v>0.3</c:v>
                </c:pt>
                <c:pt idx="5">
                  <c:v>7.4999999999999997E-2</c:v>
                </c:pt>
                <c:pt idx="6">
                  <c:v>0.24</c:v>
                </c:pt>
              </c:numCache>
            </c:numRef>
          </c:xVal>
          <c:yVal>
            <c:numRef>
              <c:f>Comparison!$F$34:$F$43</c:f>
              <c:numCache>
                <c:formatCode>General</c:formatCode>
                <c:ptCount val="10"/>
                <c:pt idx="0">
                  <c:v>0</c:v>
                </c:pt>
                <c:pt idx="1">
                  <c:v>3.7295694974519673</c:v>
                </c:pt>
                <c:pt idx="2">
                  <c:v>2.8935047459320256</c:v>
                </c:pt>
                <c:pt idx="3">
                  <c:v>0.58734478304347992</c:v>
                </c:pt>
                <c:pt idx="4">
                  <c:v>5.3822377494728082</c:v>
                </c:pt>
                <c:pt idx="5">
                  <c:v>1.164273913043478</c:v>
                </c:pt>
                <c:pt idx="6">
                  <c:v>4.5221696380434784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500208"/>
        <c:axId val="315500600"/>
        <c:extLst/>
      </c:scatterChart>
      <c:valAx>
        <c:axId val="31550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MWCNTs Mass (mg)</a:t>
                </a:r>
              </a:p>
            </c:rich>
          </c:tx>
          <c:layout>
            <c:manualLayout>
              <c:xMode val="edge"/>
              <c:yMode val="edge"/>
              <c:x val="0.39141306941375409"/>
              <c:y val="0.94280761934461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00600"/>
        <c:crosses val="autoZero"/>
        <c:crossBetween val="midCat"/>
      </c:valAx>
      <c:valAx>
        <c:axId val="3155006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0020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509468617646034"/>
          <c:y val="0.12341559439216439"/>
          <c:w val="0.18233409852820384"/>
          <c:h val="0.17091343780047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b)</a:t>
            </a:r>
          </a:p>
        </c:rich>
      </c:tx>
      <c:layout>
        <c:manualLayout>
          <c:xMode val="edge"/>
          <c:yMode val="edge"/>
          <c:x val="1.4210284112039441E-3"/>
          <c:y val="3.28160199487259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983129593510292"/>
          <c:y val="7.4023140400132914E-2"/>
          <c:w val="0.82079323417906092"/>
          <c:h val="0.78668596303510852"/>
        </c:manualLayout>
      </c:layout>
      <c:scatterChart>
        <c:scatterStyle val="lineMarker"/>
        <c:varyColors val="0"/>
        <c:ser>
          <c:idx val="3"/>
          <c:order val="0"/>
          <c:tx>
            <c:v>Sand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5.4449568039469071E-2"/>
                  <c:y val="1.90174398931840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Comparison!$B$6:$B$12</c:f>
              <c:numCache>
                <c:formatCode>General</c:formatCode>
                <c:ptCount val="7"/>
                <c:pt idx="0">
                  <c:v>0</c:v>
                </c:pt>
                <c:pt idx="1">
                  <c:v>8.5630407616780731E-4</c:v>
                </c:pt>
                <c:pt idx="2">
                  <c:v>7.0559999999999998E-2</c:v>
                </c:pt>
                <c:pt idx="3">
                  <c:v>5.2000000000000005E-2</c:v>
                </c:pt>
                <c:pt idx="4">
                  <c:v>2.7459999999999998E-2</c:v>
                </c:pt>
                <c:pt idx="5">
                  <c:v>0.1148</c:v>
                </c:pt>
                <c:pt idx="6">
                  <c:v>0.26200000000000001</c:v>
                </c:pt>
              </c:numCache>
            </c:numRef>
          </c:xVal>
          <c:yVal>
            <c:numRef>
              <c:f>Comparison!$D$6:$D$12</c:f>
              <c:numCache>
                <c:formatCode>General</c:formatCode>
                <c:ptCount val="7"/>
                <c:pt idx="0">
                  <c:v>3.1256895260000001E-3</c:v>
                </c:pt>
                <c:pt idx="1">
                  <c:v>0.50603601664465003</c:v>
                </c:pt>
                <c:pt idx="2">
                  <c:v>2.185751099206461</c:v>
                </c:pt>
                <c:pt idx="3">
                  <c:v>1.4903705313029079</c:v>
                </c:pt>
                <c:pt idx="4">
                  <c:v>1.2799847491573051</c:v>
                </c:pt>
                <c:pt idx="5">
                  <c:v>3.8115664707561514</c:v>
                </c:pt>
                <c:pt idx="6">
                  <c:v>9.8253091668244874</c:v>
                </c:pt>
              </c:numCache>
            </c:numRef>
          </c:yVal>
          <c:smooth val="0"/>
        </c:ser>
        <c:ser>
          <c:idx val="4"/>
          <c:order val="1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2201065654254992"/>
                  <c:y val="7.1114967336400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Comparison!$B$20:$B$29</c:f>
              <c:numCache>
                <c:formatCode>General</c:formatCode>
                <c:ptCount val="10"/>
                <c:pt idx="0">
                  <c:v>0</c:v>
                </c:pt>
                <c:pt idx="1">
                  <c:v>8.9999999999999993E-3</c:v>
                </c:pt>
                <c:pt idx="2">
                  <c:v>2.8700000000000003E-2</c:v>
                </c:pt>
                <c:pt idx="3">
                  <c:v>4.2350000000000006E-2</c:v>
                </c:pt>
                <c:pt idx="4">
                  <c:v>5.5024875621890554E-2</c:v>
                </c:pt>
                <c:pt idx="5">
                  <c:v>9.4500000000000001E-2</c:v>
                </c:pt>
                <c:pt idx="6">
                  <c:v>0.1575</c:v>
                </c:pt>
                <c:pt idx="7">
                  <c:v>0.24</c:v>
                </c:pt>
                <c:pt idx="8">
                  <c:v>0.3</c:v>
                </c:pt>
              </c:numCache>
            </c:numRef>
          </c:xVal>
          <c:yVal>
            <c:numRef>
              <c:f>Comparison!$G$20:$G$29</c:f>
              <c:numCache>
                <c:formatCode>General</c:formatCode>
                <c:ptCount val="10"/>
                <c:pt idx="0">
                  <c:v>0</c:v>
                </c:pt>
                <c:pt idx="1">
                  <c:v>0.15559903833333255</c:v>
                </c:pt>
                <c:pt idx="2">
                  <c:v>0.82078367330190471</c:v>
                </c:pt>
                <c:pt idx="3">
                  <c:v>1.4673638764722898</c:v>
                </c:pt>
                <c:pt idx="4">
                  <c:v>1.8116377790312701</c:v>
                </c:pt>
                <c:pt idx="5">
                  <c:v>2.368942093249899</c:v>
                </c:pt>
                <c:pt idx="6">
                  <c:v>5.0262826533333307</c:v>
                </c:pt>
                <c:pt idx="7">
                  <c:v>6.991092384140674</c:v>
                </c:pt>
                <c:pt idx="8">
                  <c:v>10.300429414397001</c:v>
                </c:pt>
              </c:numCache>
            </c:numRef>
          </c:yVal>
          <c:smooth val="0"/>
        </c:ser>
        <c:ser>
          <c:idx val="5"/>
          <c:order val="2"/>
          <c:tx>
            <c:v>Sludge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3.898279916845257E-2"/>
                  <c:y val="0.289240140714118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Comparison!$B$34:$B$43</c:f>
              <c:numCache>
                <c:formatCode>General</c:formatCode>
                <c:ptCount val="10"/>
                <c:pt idx="0">
                  <c:v>0</c:v>
                </c:pt>
                <c:pt idx="1">
                  <c:v>0.22499999999999998</c:v>
                </c:pt>
                <c:pt idx="2">
                  <c:v>0.15</c:v>
                </c:pt>
                <c:pt idx="3">
                  <c:v>1.4999999999999999E-2</c:v>
                </c:pt>
                <c:pt idx="4">
                  <c:v>0.3</c:v>
                </c:pt>
                <c:pt idx="5">
                  <c:v>7.4999999999999997E-2</c:v>
                </c:pt>
                <c:pt idx="6">
                  <c:v>0.24</c:v>
                </c:pt>
              </c:numCache>
            </c:numRef>
          </c:xVal>
          <c:yVal>
            <c:numRef>
              <c:f>Comparison!$G$34:$G$43</c:f>
              <c:numCache>
                <c:formatCode>General</c:formatCode>
                <c:ptCount val="10"/>
                <c:pt idx="0">
                  <c:v>0</c:v>
                </c:pt>
                <c:pt idx="1">
                  <c:v>4.3262483586562679</c:v>
                </c:pt>
                <c:pt idx="2">
                  <c:v>3.2555220904953925</c:v>
                </c:pt>
                <c:pt idx="3">
                  <c:v>0.29027189764733841</c:v>
                </c:pt>
                <c:pt idx="4">
                  <c:v>7.212993989832718</c:v>
                </c:pt>
                <c:pt idx="5">
                  <c:v>1.592736914459207</c:v>
                </c:pt>
                <c:pt idx="6">
                  <c:v>5.2331378001430053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501384"/>
        <c:axId val="315501776"/>
        <c:extLst/>
      </c:scatterChart>
      <c:valAx>
        <c:axId val="315501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35991248418106758"/>
              <c:y val="0.928689540610886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01776"/>
        <c:crosses val="autoZero"/>
        <c:crossBetween val="midCat"/>
      </c:valAx>
      <c:valAx>
        <c:axId val="31550177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Subtracted ∆T(°C)</a:t>
                </a:r>
              </a:p>
            </c:rich>
          </c:tx>
          <c:layout>
            <c:manualLayout>
              <c:xMode val="edge"/>
              <c:yMode val="edge"/>
              <c:x val="2.7778446654412848E-3"/>
              <c:y val="0.364293354000836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0138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4247249572930515"/>
          <c:y val="0.10691380161638211"/>
          <c:w val="0.16492056421081921"/>
          <c:h val="0.18967412489280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/>
              <a:t>MWCNT-COOH  at 100W, 20s microwave </a:t>
            </a:r>
          </a:p>
        </c:rich>
      </c:tx>
      <c:layout>
        <c:manualLayout>
          <c:xMode val="edge"/>
          <c:yMode val="edge"/>
          <c:x val="0.19907005695434313"/>
          <c:y val="3.059172058938177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676830916013175E-2"/>
          <c:y val="5.9505138077252537E-2"/>
          <c:w val="0.85520546097745676"/>
          <c:h val="0.80296517813322132"/>
        </c:manualLayout>
      </c:layout>
      <c:scatterChart>
        <c:scatterStyle val="lineMarker"/>
        <c:varyColors val="0"/>
        <c:ser>
          <c:idx val="3"/>
          <c:order val="0"/>
          <c:tx>
            <c:v>Sand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0.35286026993661368"/>
                  <c:y val="-1.96150481189851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Comparison!$G$6:$G$10</c:f>
              <c:numCache>
                <c:formatCode>General</c:formatCode>
                <c:ptCount val="5"/>
                <c:pt idx="0">
                  <c:v>0</c:v>
                </c:pt>
                <c:pt idx="1">
                  <c:v>6.9550000000000001E-2</c:v>
                </c:pt>
                <c:pt idx="2">
                  <c:v>0.13</c:v>
                </c:pt>
                <c:pt idx="3">
                  <c:v>0.26419999999999999</c:v>
                </c:pt>
                <c:pt idx="4">
                  <c:v>0.38480000000000003</c:v>
                </c:pt>
              </c:numCache>
            </c:numRef>
          </c:xVal>
          <c:yVal>
            <c:numRef>
              <c:f>Comparison!$H$6:$H$10</c:f>
              <c:numCache>
                <c:formatCode>General</c:formatCode>
                <c:ptCount val="5"/>
                <c:pt idx="0">
                  <c:v>3.8029634359999995E-3</c:v>
                </c:pt>
                <c:pt idx="1">
                  <c:v>0.34793496666666596</c:v>
                </c:pt>
                <c:pt idx="2">
                  <c:v>1.3831871290799651</c:v>
                </c:pt>
                <c:pt idx="3">
                  <c:v>3.5714077096704515</c:v>
                </c:pt>
                <c:pt idx="4">
                  <c:v>5.4908870636666656</c:v>
                </c:pt>
              </c:numCache>
            </c:numRef>
          </c:yVal>
          <c:smooth val="0"/>
        </c:ser>
        <c:ser>
          <c:idx val="4"/>
          <c:order val="1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4.4108804581245525E-2"/>
                  <c:y val="0.345757927800008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Comparison!$R$20:$R$27</c:f>
              <c:numCache>
                <c:formatCode>General</c:formatCode>
                <c:ptCount val="8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0.12</c:v>
                </c:pt>
                <c:pt idx="4">
                  <c:v>0.24</c:v>
                </c:pt>
                <c:pt idx="5">
                  <c:v>0.3</c:v>
                </c:pt>
                <c:pt idx="6">
                  <c:v>0.45</c:v>
                </c:pt>
                <c:pt idx="7">
                  <c:v>0.6</c:v>
                </c:pt>
              </c:numCache>
            </c:numRef>
          </c:xVal>
          <c:yVal>
            <c:numRef>
              <c:f>Comparison!$V$20:$V$27</c:f>
              <c:numCache>
                <c:formatCode>General</c:formatCode>
                <c:ptCount val="8"/>
                <c:pt idx="0">
                  <c:v>0</c:v>
                </c:pt>
                <c:pt idx="1">
                  <c:v>0.37080408031160061</c:v>
                </c:pt>
                <c:pt idx="2">
                  <c:v>0.58348873000000157</c:v>
                </c:pt>
                <c:pt idx="3">
                  <c:v>1.3399677266666681</c:v>
                </c:pt>
                <c:pt idx="4">
                  <c:v>2.1263180100000012</c:v>
                </c:pt>
                <c:pt idx="5">
                  <c:v>3.913563240000002</c:v>
                </c:pt>
                <c:pt idx="6">
                  <c:v>4.8485632400000007</c:v>
                </c:pt>
                <c:pt idx="7">
                  <c:v>7.2580219000000001</c:v>
                </c:pt>
              </c:numCache>
            </c:numRef>
          </c:yVal>
          <c:smooth val="0"/>
        </c:ser>
        <c:ser>
          <c:idx val="5"/>
          <c:order val="2"/>
          <c:tx>
            <c:v>Sludge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2.6691357256232298E-2"/>
                  <c:y val="0.18440399158026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Comparison!$R$34:$R$40</c:f>
              <c:numCache>
                <c:formatCode>General</c:formatCode>
                <c:ptCount val="7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0.39</c:v>
                </c:pt>
                <c:pt idx="6">
                  <c:v>0.54</c:v>
                </c:pt>
              </c:numCache>
            </c:numRef>
          </c:xVal>
          <c:yVal>
            <c:numRef>
              <c:f>Comparison!$V$34:$V$40</c:f>
              <c:numCache>
                <c:formatCode>General</c:formatCode>
                <c:ptCount val="7"/>
                <c:pt idx="0">
                  <c:v>0</c:v>
                </c:pt>
                <c:pt idx="1">
                  <c:v>0.77616512734262755</c:v>
                </c:pt>
                <c:pt idx="2">
                  <c:v>1.3352636985448776</c:v>
                </c:pt>
                <c:pt idx="3">
                  <c:v>1.7458466930434782</c:v>
                </c:pt>
                <c:pt idx="5">
                  <c:v>2.1905287830434785</c:v>
                </c:pt>
                <c:pt idx="6">
                  <c:v>3.1897157653768087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502560"/>
        <c:axId val="315502952"/>
        <c:extLst/>
      </c:scatterChart>
      <c:valAx>
        <c:axId val="31550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MWCNT-COOH Mass (mg)</a:t>
                </a:r>
              </a:p>
            </c:rich>
          </c:tx>
          <c:layout>
            <c:manualLayout>
              <c:xMode val="edge"/>
              <c:yMode val="edge"/>
              <c:x val="0.39141306941375409"/>
              <c:y val="0.94280761934461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02952"/>
        <c:crosses val="autoZero"/>
        <c:crossBetween val="midCat"/>
      </c:valAx>
      <c:valAx>
        <c:axId val="3155029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0256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4783687612171006"/>
          <c:y val="0.12341545178139861"/>
          <c:w val="0.24604459801851986"/>
          <c:h val="0.17091343780047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c)</a:t>
            </a:r>
          </a:p>
        </c:rich>
      </c:tx>
      <c:layout>
        <c:manualLayout>
          <c:xMode val="edge"/>
          <c:yMode val="edge"/>
          <c:x val="1.4210284112039441E-3"/>
          <c:y val="3.28160199487259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407866256779064"/>
          <c:y val="6.9183806292506117E-2"/>
          <c:w val="0.81654586754637326"/>
          <c:h val="0.79152529714273523"/>
        </c:manualLayout>
      </c:layout>
      <c:scatterChart>
        <c:scatterStyle val="lineMarker"/>
        <c:varyColors val="0"/>
        <c:ser>
          <c:idx val="3"/>
          <c:order val="0"/>
          <c:tx>
            <c:v>Sand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5.2604471841631417E-2"/>
                  <c:y val="1.47057913911585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Comparison!$G$6:$G$10</c:f>
              <c:numCache>
                <c:formatCode>General</c:formatCode>
                <c:ptCount val="5"/>
                <c:pt idx="0">
                  <c:v>0</c:v>
                </c:pt>
                <c:pt idx="1">
                  <c:v>6.9550000000000001E-2</c:v>
                </c:pt>
                <c:pt idx="2">
                  <c:v>0.13</c:v>
                </c:pt>
                <c:pt idx="3">
                  <c:v>0.26419999999999999</c:v>
                </c:pt>
                <c:pt idx="4">
                  <c:v>0.38480000000000003</c:v>
                </c:pt>
              </c:numCache>
            </c:numRef>
          </c:xVal>
          <c:yVal>
            <c:numRef>
              <c:f>Comparison!$I$6:$I$10</c:f>
              <c:numCache>
                <c:formatCode>General</c:formatCode>
                <c:ptCount val="5"/>
                <c:pt idx="0">
                  <c:v>3.1256895260000001E-3</c:v>
                </c:pt>
                <c:pt idx="1">
                  <c:v>0.65721454333333185</c:v>
                </c:pt>
                <c:pt idx="2">
                  <c:v>1.5391658676624342</c:v>
                </c:pt>
                <c:pt idx="3">
                  <c:v>4.7435528808286369</c:v>
                </c:pt>
                <c:pt idx="4">
                  <c:v>6.5117703099999993</c:v>
                </c:pt>
              </c:numCache>
            </c:numRef>
          </c:yVal>
          <c:smooth val="0"/>
        </c:ser>
        <c:ser>
          <c:idx val="4"/>
          <c:order val="1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6.6091803752234959E-2"/>
                  <c:y val="0.227631818299940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Comparison!$R$20:$R$26</c:f>
              <c:numCache>
                <c:formatCode>General</c:formatCode>
                <c:ptCount val="7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0.12</c:v>
                </c:pt>
                <c:pt idx="4">
                  <c:v>0.24</c:v>
                </c:pt>
                <c:pt idx="5">
                  <c:v>0.3</c:v>
                </c:pt>
                <c:pt idx="6">
                  <c:v>0.45</c:v>
                </c:pt>
              </c:numCache>
            </c:numRef>
          </c:xVal>
          <c:yVal>
            <c:numRef>
              <c:f>Comparison!$W$20:$W$26</c:f>
              <c:numCache>
                <c:formatCode>General</c:formatCode>
                <c:ptCount val="7"/>
                <c:pt idx="0">
                  <c:v>0</c:v>
                </c:pt>
                <c:pt idx="1">
                  <c:v>0.4088894290942342</c:v>
                </c:pt>
                <c:pt idx="2">
                  <c:v>0.99902972249916533</c:v>
                </c:pt>
                <c:pt idx="3">
                  <c:v>1.9311909066666642</c:v>
                </c:pt>
                <c:pt idx="4">
                  <c:v>2.7007819566666651</c:v>
                </c:pt>
                <c:pt idx="5">
                  <c:v>4.5970771433333315</c:v>
                </c:pt>
                <c:pt idx="6">
                  <c:v>5.9045792333333305</c:v>
                </c:pt>
              </c:numCache>
            </c:numRef>
          </c:yVal>
          <c:smooth val="0"/>
        </c:ser>
        <c:ser>
          <c:idx val="5"/>
          <c:order val="2"/>
          <c:tx>
            <c:v>Sludge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8.2339328077348964E-2"/>
                  <c:y val="0.137713157142485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Comparison!$R$34:$R$40</c:f>
              <c:numCache>
                <c:formatCode>General</c:formatCode>
                <c:ptCount val="7"/>
                <c:pt idx="0">
                  <c:v>0</c:v>
                </c:pt>
                <c:pt idx="1">
                  <c:v>7.4999999999999997E-2</c:v>
                </c:pt>
                <c:pt idx="2">
                  <c:v>0.15</c:v>
                </c:pt>
                <c:pt idx="3">
                  <c:v>0.24</c:v>
                </c:pt>
                <c:pt idx="4">
                  <c:v>0.3</c:v>
                </c:pt>
                <c:pt idx="5">
                  <c:v>0.39</c:v>
                </c:pt>
                <c:pt idx="6">
                  <c:v>0.54</c:v>
                </c:pt>
              </c:numCache>
            </c:numRef>
          </c:xVal>
          <c:yVal>
            <c:numRef>
              <c:f>Comparison!$W$34:$W$40</c:f>
              <c:numCache>
                <c:formatCode>General</c:formatCode>
                <c:ptCount val="7"/>
                <c:pt idx="0">
                  <c:v>0</c:v>
                </c:pt>
                <c:pt idx="1">
                  <c:v>0.63671645499999907</c:v>
                </c:pt>
                <c:pt idx="2">
                  <c:v>1.1703431433333338</c:v>
                </c:pt>
                <c:pt idx="3">
                  <c:v>1.3435434099999999</c:v>
                </c:pt>
                <c:pt idx="4">
                  <c:v>1.9258018002690152</c:v>
                </c:pt>
                <c:pt idx="5">
                  <c:v>2.3027498324999991</c:v>
                </c:pt>
                <c:pt idx="6">
                  <c:v>3.4309681500000009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503736"/>
        <c:axId val="315528880"/>
        <c:extLst/>
      </c:scatterChart>
      <c:valAx>
        <c:axId val="315503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MWCNT-COOH Mass (mg)</a:t>
                </a:r>
              </a:p>
            </c:rich>
          </c:tx>
          <c:layout>
            <c:manualLayout>
              <c:xMode val="edge"/>
              <c:yMode val="edge"/>
              <c:x val="0.33867565101762898"/>
              <c:y val="0.929606360180587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28880"/>
        <c:crosses val="autoZero"/>
        <c:crossBetween val="midCat"/>
      </c:valAx>
      <c:valAx>
        <c:axId val="31552888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Subtracted ∆T(°C) </a:t>
                </a:r>
              </a:p>
            </c:rich>
          </c:tx>
          <c:layout>
            <c:manualLayout>
              <c:xMode val="edge"/>
              <c:yMode val="edge"/>
              <c:x val="2.7778446654412848E-3"/>
              <c:y val="0.312069223054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0373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4247249572930515"/>
          <c:y val="0.10691380161638211"/>
          <c:w val="0.1635618009798111"/>
          <c:h val="0.17091343780047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a)</a:t>
            </a:r>
          </a:p>
        </c:rich>
      </c:tx>
      <c:layout>
        <c:manualLayout>
          <c:xMode val="edge"/>
          <c:yMode val="edge"/>
          <c:x val="2.729016671081271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7374204371242588"/>
          <c:y val="9.1862754960507997E-2"/>
          <c:w val="0.781660606644353"/>
          <c:h val="0.78562893053002514"/>
        </c:manualLayout>
      </c:layout>
      <c:scatterChart>
        <c:scatterStyle val="lineMarker"/>
        <c:varyColors val="0"/>
        <c:ser>
          <c:idx val="0"/>
          <c:order val="0"/>
          <c:tx>
            <c:v>15 mg sludge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[2]Controls!$T$53:$T$59</c:f>
                <c:numCache>
                  <c:formatCode>General</c:formatCode>
                  <c:ptCount val="7"/>
                  <c:pt idx="0">
                    <c:v>0.18745149999999999</c:v>
                  </c:pt>
                  <c:pt idx="1">
                    <c:v>0.21035870000000001</c:v>
                  </c:pt>
                  <c:pt idx="2">
                    <c:v>0.19841064999999999</c:v>
                  </c:pt>
                  <c:pt idx="3">
                    <c:v>0.25620169999999998</c:v>
                  </c:pt>
                  <c:pt idx="4">
                    <c:v>0.24415832000000001</c:v>
                  </c:pt>
                  <c:pt idx="5">
                    <c:v>0.21058099999999999</c:v>
                  </c:pt>
                  <c:pt idx="6">
                    <c:v>0.15418699999999999</c:v>
                  </c:pt>
                </c:numCache>
              </c:numRef>
            </c:plus>
            <c:minus>
              <c:numRef>
                <c:f>[2]Controls!$T$53:$T$59</c:f>
                <c:numCache>
                  <c:formatCode>General</c:formatCode>
                  <c:ptCount val="7"/>
                  <c:pt idx="0">
                    <c:v>0.18745149999999999</c:v>
                  </c:pt>
                  <c:pt idx="1">
                    <c:v>0.21035870000000001</c:v>
                  </c:pt>
                  <c:pt idx="2">
                    <c:v>0.19841064999999999</c:v>
                  </c:pt>
                  <c:pt idx="3">
                    <c:v>0.25620169999999998</c:v>
                  </c:pt>
                  <c:pt idx="4">
                    <c:v>0.24415832000000001</c:v>
                  </c:pt>
                  <c:pt idx="5">
                    <c:v>0.21058099999999999</c:v>
                  </c:pt>
                  <c:pt idx="6">
                    <c:v>0.15418699999999999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[2]Controls!$S$53:$S$77</c:f>
              <c:numCache>
                <c:formatCode>General</c:formatCode>
                <c:ptCount val="25"/>
                <c:pt idx="0">
                  <c:v>22.883602849999999</c:v>
                </c:pt>
                <c:pt idx="1">
                  <c:v>24.312531161403292</c:v>
                </c:pt>
                <c:pt idx="2">
                  <c:v>24.964411971180141</c:v>
                </c:pt>
                <c:pt idx="3">
                  <c:v>25.340338816011052</c:v>
                </c:pt>
                <c:pt idx="4">
                  <c:v>25.674404243437468</c:v>
                </c:pt>
                <c:pt idx="5">
                  <c:v>25.777198211327843</c:v>
                </c:pt>
                <c:pt idx="6">
                  <c:v>26.020483732792535</c:v>
                </c:pt>
                <c:pt idx="7">
                  <c:v>26.02616480083632</c:v>
                </c:pt>
                <c:pt idx="8">
                  <c:v>26.363769254257221</c:v>
                </c:pt>
                <c:pt idx="9">
                  <c:v>26.359764566947671</c:v>
                </c:pt>
                <c:pt idx="10">
                  <c:v>26.369822851353046</c:v>
                </c:pt>
                <c:pt idx="11">
                  <c:v>26.366283825358558</c:v>
                </c:pt>
                <c:pt idx="12">
                  <c:v>26.365166238202413</c:v>
                </c:pt>
                <c:pt idx="13">
                  <c:v>26.526564450003363</c:v>
                </c:pt>
                <c:pt idx="14">
                  <c:v>26.703329485201376</c:v>
                </c:pt>
                <c:pt idx="15">
                  <c:v>26.671943912566114</c:v>
                </c:pt>
                <c:pt idx="16">
                  <c:v>26.697927813946663</c:v>
                </c:pt>
                <c:pt idx="17">
                  <c:v>26.706123453091756</c:v>
                </c:pt>
                <c:pt idx="18">
                  <c:v>26.704540204620546</c:v>
                </c:pt>
                <c:pt idx="19">
                  <c:v>26.703050088412358</c:v>
                </c:pt>
                <c:pt idx="20">
                  <c:v>26.696344565475425</c:v>
                </c:pt>
                <c:pt idx="21">
                  <c:v>26.701559972204144</c:v>
                </c:pt>
                <c:pt idx="22">
                  <c:v>26.700628649574018</c:v>
                </c:pt>
                <c:pt idx="23">
                  <c:v>26.695878904160363</c:v>
                </c:pt>
                <c:pt idx="24">
                  <c:v>26.69681022679049</c:v>
                </c:pt>
              </c:numCache>
            </c:numRef>
          </c:yVal>
          <c:smooth val="0"/>
        </c:ser>
        <c:ser>
          <c:idx val="1"/>
          <c:order val="1"/>
          <c:tx>
            <c:v>10 mgsludge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[2]Controls!$X$53:$X$59</c:f>
                <c:numCache>
                  <c:formatCode>General</c:formatCode>
                  <c:ptCount val="7"/>
                  <c:pt idx="0">
                    <c:v>0.10254681</c:v>
                  </c:pt>
                  <c:pt idx="1">
                    <c:v>0.1126587</c:v>
                  </c:pt>
                  <c:pt idx="2">
                    <c:v>0.13658200000000001</c:v>
                  </c:pt>
                  <c:pt idx="3">
                    <c:v>0.12548400000000001</c:v>
                  </c:pt>
                  <c:pt idx="4">
                    <c:v>0.20154810000000001</c:v>
                  </c:pt>
                  <c:pt idx="5">
                    <c:v>0.19562099999999999</c:v>
                  </c:pt>
                  <c:pt idx="6">
                    <c:v>0.2369521</c:v>
                  </c:pt>
                </c:numCache>
              </c:numRef>
            </c:plus>
            <c:minus>
              <c:numRef>
                <c:f>[2]Controls!$X$53:$X$59</c:f>
                <c:numCache>
                  <c:formatCode>General</c:formatCode>
                  <c:ptCount val="7"/>
                  <c:pt idx="0">
                    <c:v>0.10254681</c:v>
                  </c:pt>
                  <c:pt idx="1">
                    <c:v>0.1126587</c:v>
                  </c:pt>
                  <c:pt idx="2">
                    <c:v>0.13658200000000001</c:v>
                  </c:pt>
                  <c:pt idx="3">
                    <c:v>0.12548400000000001</c:v>
                  </c:pt>
                  <c:pt idx="4">
                    <c:v>0.20154810000000001</c:v>
                  </c:pt>
                  <c:pt idx="5">
                    <c:v>0.19562099999999999</c:v>
                  </c:pt>
                  <c:pt idx="6">
                    <c:v>0.2369521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[2]Controls!$F$53:$F$77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  <c:extLst xmlns:c15="http://schemas.microsoft.com/office/drawing/2012/chart"/>
            </c:numRef>
          </c:xVal>
          <c:yVal>
            <c:numRef>
              <c:f>[2]Controls!$W$53:$W$77</c:f>
              <c:numCache>
                <c:formatCode>General</c:formatCode>
                <c:ptCount val="25"/>
                <c:pt idx="0">
                  <c:v>22.883600000000001</c:v>
                </c:pt>
                <c:pt idx="1">
                  <c:v>23.836156786093486</c:v>
                </c:pt>
                <c:pt idx="2">
                  <c:v>24.171060403887033</c:v>
                </c:pt>
                <c:pt idx="3">
                  <c:v>24.411434774722728</c:v>
                </c:pt>
                <c:pt idx="4">
                  <c:v>24.519561332080414</c:v>
                </c:pt>
                <c:pt idx="5">
                  <c:v>24.574229970468842</c:v>
                </c:pt>
                <c:pt idx="6">
                  <c:v>24.515836041559908</c:v>
                </c:pt>
                <c:pt idx="7">
                  <c:v>24.665406455958255</c:v>
                </c:pt>
                <c:pt idx="8">
                  <c:v>24.525335532387192</c:v>
                </c:pt>
                <c:pt idx="9">
                  <c:v>24.519561332080414</c:v>
                </c:pt>
                <c:pt idx="10">
                  <c:v>24.599841342797323</c:v>
                </c:pt>
                <c:pt idx="11">
                  <c:v>24.858562769446507</c:v>
                </c:pt>
                <c:pt idx="12">
                  <c:v>24.733858669272561</c:v>
                </c:pt>
                <c:pt idx="13">
                  <c:v>24.857631446816381</c:v>
                </c:pt>
                <c:pt idx="14">
                  <c:v>24.852509172350683</c:v>
                </c:pt>
                <c:pt idx="15">
                  <c:v>24.851484717457559</c:v>
                </c:pt>
                <c:pt idx="16">
                  <c:v>24.846455575254861</c:v>
                </c:pt>
                <c:pt idx="17">
                  <c:v>24.850553394827433</c:v>
                </c:pt>
                <c:pt idx="18">
                  <c:v>24.856327595134214</c:v>
                </c:pt>
                <c:pt idx="19">
                  <c:v>24.855303140241062</c:v>
                </c:pt>
                <c:pt idx="20">
                  <c:v>24.861356737336887</c:v>
                </c:pt>
                <c:pt idx="21">
                  <c:v>24.861915530914974</c:v>
                </c:pt>
                <c:pt idx="22">
                  <c:v>24.854558082136958</c:v>
                </c:pt>
                <c:pt idx="23">
                  <c:v>24.853347362717813</c:v>
                </c:pt>
                <c:pt idx="24">
                  <c:v>24.857631446816381</c:v>
                </c:pt>
              </c:numCache>
              <c:extLst xmlns:c15="http://schemas.microsoft.com/office/drawing/2012/chart"/>
            </c:numRef>
          </c:yVal>
          <c:smooth val="0"/>
        </c:ser>
        <c:ser>
          <c:idx val="2"/>
          <c:order val="2"/>
          <c:tx>
            <c:v>130 mg Quartz Sand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[2]Controls!$AE$53:$AE$59</c:f>
                <c:numCache>
                  <c:formatCode>General</c:formatCode>
                  <c:ptCount val="7"/>
                  <c:pt idx="0">
                    <c:v>0.10571</c:v>
                  </c:pt>
                  <c:pt idx="1">
                    <c:v>5.8471000000000002E-2</c:v>
                  </c:pt>
                  <c:pt idx="2">
                    <c:v>1.25681E-2</c:v>
                  </c:pt>
                  <c:pt idx="3">
                    <c:v>8.4909999999999999E-2</c:v>
                  </c:pt>
                  <c:pt idx="4">
                    <c:v>8.9510000000000006E-2</c:v>
                  </c:pt>
                  <c:pt idx="5">
                    <c:v>3.5217999999999999E-2</c:v>
                  </c:pt>
                  <c:pt idx="6">
                    <c:v>2.6700000000000002E-2</c:v>
                  </c:pt>
                </c:numCache>
              </c:numRef>
            </c:plus>
            <c:minus>
              <c:numRef>
                <c:f>[2]Controls!$AE$53:$AE$59</c:f>
                <c:numCache>
                  <c:formatCode>General</c:formatCode>
                  <c:ptCount val="7"/>
                  <c:pt idx="0">
                    <c:v>0.10571</c:v>
                  </c:pt>
                  <c:pt idx="1">
                    <c:v>5.8471000000000002E-2</c:v>
                  </c:pt>
                  <c:pt idx="2">
                    <c:v>1.25681E-2</c:v>
                  </c:pt>
                  <c:pt idx="3">
                    <c:v>8.4909999999999999E-2</c:v>
                  </c:pt>
                  <c:pt idx="4">
                    <c:v>8.9510000000000006E-2</c:v>
                  </c:pt>
                  <c:pt idx="5">
                    <c:v>3.5217999999999999E-2</c:v>
                  </c:pt>
                  <c:pt idx="6">
                    <c:v>2.6700000000000002E-2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7030A0"/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[2]Controls!$AC$53:$AC$77</c:f>
              <c:numCache>
                <c:formatCode>General</c:formatCode>
                <c:ptCount val="25"/>
                <c:pt idx="0">
                  <c:v>22.883600000000001</c:v>
                </c:pt>
                <c:pt idx="1">
                  <c:v>22.893472019879354</c:v>
                </c:pt>
                <c:pt idx="2">
                  <c:v>22.891888771408144</c:v>
                </c:pt>
                <c:pt idx="3">
                  <c:v>22.896079723243716</c:v>
                </c:pt>
                <c:pt idx="4">
                  <c:v>22.8827618096329</c:v>
                </c:pt>
                <c:pt idx="5">
                  <c:v>22.889467332569804</c:v>
                </c:pt>
                <c:pt idx="6">
                  <c:v>22.888815406728721</c:v>
                </c:pt>
                <c:pt idx="7">
                  <c:v>22.890398655199931</c:v>
                </c:pt>
                <c:pt idx="8">
                  <c:v>22.890305522936934</c:v>
                </c:pt>
                <c:pt idx="9">
                  <c:v>22.888536009939678</c:v>
                </c:pt>
                <c:pt idx="10">
                  <c:v>22.893472019879354</c:v>
                </c:pt>
                <c:pt idx="11">
                  <c:v>22.890212390673913</c:v>
                </c:pt>
                <c:pt idx="12">
                  <c:v>22.886580232416428</c:v>
                </c:pt>
                <c:pt idx="13">
                  <c:v>22.891981903671141</c:v>
                </c:pt>
                <c:pt idx="14">
                  <c:v>22.890491787462956</c:v>
                </c:pt>
                <c:pt idx="15">
                  <c:v>22.971784841763089</c:v>
                </c:pt>
                <c:pt idx="16">
                  <c:v>22.928489750772126</c:v>
                </c:pt>
                <c:pt idx="17">
                  <c:v>23.056756927416188</c:v>
                </c:pt>
                <c:pt idx="18">
                  <c:v>22.933497912138588</c:v>
                </c:pt>
                <c:pt idx="19">
                  <c:v>22.893192623090311</c:v>
                </c:pt>
                <c:pt idx="20">
                  <c:v>22.942904270702886</c:v>
                </c:pt>
                <c:pt idx="21">
                  <c:v>22.899059955660114</c:v>
                </c:pt>
                <c:pt idx="22">
                  <c:v>22.967419036711398</c:v>
                </c:pt>
                <c:pt idx="23">
                  <c:v>22.953845776787187</c:v>
                </c:pt>
                <c:pt idx="24">
                  <c:v>23.016896318846687</c:v>
                </c:pt>
              </c:numCache>
            </c:numRef>
          </c:yVal>
          <c:smooth val="0"/>
        </c:ser>
        <c:ser>
          <c:idx val="3"/>
          <c:order val="3"/>
          <c:tx>
            <c:v>60 mg sand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[2]Controls!$AF$53:$AF$59</c:f>
                <c:numCache>
                  <c:formatCode>General</c:formatCode>
                  <c:ptCount val="7"/>
                  <c:pt idx="0">
                    <c:v>2.5845999999999998E-3</c:v>
                  </c:pt>
                  <c:pt idx="1">
                    <c:v>8.574E-3</c:v>
                  </c:pt>
                  <c:pt idx="2">
                    <c:v>1.2567999999999999E-2</c:v>
                  </c:pt>
                  <c:pt idx="3">
                    <c:v>8.9511999999999994E-3</c:v>
                  </c:pt>
                  <c:pt idx="4">
                    <c:v>6.2574125899999998E-3</c:v>
                  </c:pt>
                  <c:pt idx="5">
                    <c:v>2.5847999999999999E-3</c:v>
                  </c:pt>
                  <c:pt idx="6">
                    <c:v>2.5894123000000002E-2</c:v>
                  </c:pt>
                </c:numCache>
              </c:numRef>
            </c:plus>
            <c:minus>
              <c:numRef>
                <c:f>[2]Controls!$AF$53:$AF$59</c:f>
                <c:numCache>
                  <c:formatCode>General</c:formatCode>
                  <c:ptCount val="7"/>
                  <c:pt idx="0">
                    <c:v>2.5845999999999998E-3</c:v>
                  </c:pt>
                  <c:pt idx="1">
                    <c:v>8.574E-3</c:v>
                  </c:pt>
                  <c:pt idx="2">
                    <c:v>1.2567999999999999E-2</c:v>
                  </c:pt>
                  <c:pt idx="3">
                    <c:v>8.9511999999999994E-3</c:v>
                  </c:pt>
                  <c:pt idx="4">
                    <c:v>6.2574125899999998E-3</c:v>
                  </c:pt>
                  <c:pt idx="5">
                    <c:v>2.5847999999999999E-3</c:v>
                  </c:pt>
                  <c:pt idx="6">
                    <c:v>2.5894123000000002E-2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[2]Controls!$F$53:$F$77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  <c:extLst xmlns:c15="http://schemas.microsoft.com/office/drawing/2012/chart"/>
            </c:numRef>
          </c:xVal>
          <c:yVal>
            <c:numRef>
              <c:f>[2]Controls!$AD$53:$AD$77</c:f>
              <c:numCache>
                <c:formatCode>General</c:formatCode>
                <c:ptCount val="25"/>
                <c:pt idx="0">
                  <c:v>22.883600000000001</c:v>
                </c:pt>
                <c:pt idx="1">
                  <c:v>22.883472019879353</c:v>
                </c:pt>
                <c:pt idx="2">
                  <c:v>22.791888771408143</c:v>
                </c:pt>
                <c:pt idx="3">
                  <c:v>22.896079723243716</c:v>
                </c:pt>
                <c:pt idx="4">
                  <c:v>22.922761809632899</c:v>
                </c:pt>
                <c:pt idx="5">
                  <c:v>22.909467332569804</c:v>
                </c:pt>
                <c:pt idx="6">
                  <c:v>22.941815406728718</c:v>
                </c:pt>
                <c:pt idx="7">
                  <c:v>22.920398655199929</c:v>
                </c:pt>
                <c:pt idx="8">
                  <c:v>22.941305522936933</c:v>
                </c:pt>
                <c:pt idx="9">
                  <c:v>22.899536009939677</c:v>
                </c:pt>
                <c:pt idx="10">
                  <c:v>22.893472019879354</c:v>
                </c:pt>
                <c:pt idx="11">
                  <c:v>22.890212390673913</c:v>
                </c:pt>
                <c:pt idx="12">
                  <c:v>22.886580232416428</c:v>
                </c:pt>
                <c:pt idx="13">
                  <c:v>22.891981903671141</c:v>
                </c:pt>
                <c:pt idx="14">
                  <c:v>22.890491787462956</c:v>
                </c:pt>
                <c:pt idx="15">
                  <c:v>22.962784841763089</c:v>
                </c:pt>
                <c:pt idx="16">
                  <c:v>22.928489750772126</c:v>
                </c:pt>
                <c:pt idx="17">
                  <c:v>22.856756927416185</c:v>
                </c:pt>
                <c:pt idx="18">
                  <c:v>22.833497912138586</c:v>
                </c:pt>
                <c:pt idx="19">
                  <c:v>22.893192623090311</c:v>
                </c:pt>
                <c:pt idx="20">
                  <c:v>22.942904270702886</c:v>
                </c:pt>
                <c:pt idx="21">
                  <c:v>22.899059955660114</c:v>
                </c:pt>
                <c:pt idx="22">
                  <c:v>22.967419036711398</c:v>
                </c:pt>
                <c:pt idx="23">
                  <c:v>22.953845776787187</c:v>
                </c:pt>
                <c:pt idx="24">
                  <c:v>22.916896318846685</c:v>
                </c:pt>
              </c:numCache>
              <c:extLst xmlns:c15="http://schemas.microsoft.com/office/drawing/2012/chart"/>
            </c:numRef>
          </c:yVal>
          <c:smooth val="0"/>
        </c:ser>
        <c:ser>
          <c:idx val="4"/>
          <c:order val="4"/>
          <c:tx>
            <c:v>100 mg Soil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[2]Controls!$AK$53:$AK$59</c:f>
                <c:numCache>
                  <c:formatCode>General</c:formatCode>
                  <c:ptCount val="7"/>
                  <c:pt idx="0">
                    <c:v>0.28491</c:v>
                  </c:pt>
                  <c:pt idx="1">
                    <c:v>0.21259700000000001</c:v>
                  </c:pt>
                  <c:pt idx="2">
                    <c:v>0.136821</c:v>
                  </c:pt>
                  <c:pt idx="3">
                    <c:v>0.1984157</c:v>
                  </c:pt>
                  <c:pt idx="4">
                    <c:v>0.23583999999999999</c:v>
                  </c:pt>
                  <c:pt idx="5">
                    <c:v>0.240284</c:v>
                  </c:pt>
                  <c:pt idx="6">
                    <c:v>0.18287410000000001</c:v>
                  </c:pt>
                </c:numCache>
              </c:numRef>
            </c:plus>
            <c:minus>
              <c:numRef>
                <c:f>[2]Controls!$AK$53:$AK$59</c:f>
                <c:numCache>
                  <c:formatCode>General</c:formatCode>
                  <c:ptCount val="7"/>
                  <c:pt idx="0">
                    <c:v>0.28491</c:v>
                  </c:pt>
                  <c:pt idx="1">
                    <c:v>0.21259700000000001</c:v>
                  </c:pt>
                  <c:pt idx="2">
                    <c:v>0.136821</c:v>
                  </c:pt>
                  <c:pt idx="3">
                    <c:v>0.1984157</c:v>
                  </c:pt>
                  <c:pt idx="4">
                    <c:v>0.23583999999999999</c:v>
                  </c:pt>
                  <c:pt idx="5">
                    <c:v>0.240284</c:v>
                  </c:pt>
                  <c:pt idx="6">
                    <c:v>0.18287410000000001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[2]Controls!$AJ$53:$AJ$77</c:f>
              <c:numCache>
                <c:formatCode>General</c:formatCode>
                <c:ptCount val="25"/>
                <c:pt idx="0">
                  <c:v>22.883600000000001</c:v>
                </c:pt>
                <c:pt idx="1">
                  <c:v>23.216547840270273</c:v>
                </c:pt>
                <c:pt idx="2">
                  <c:v>23.463907130831888</c:v>
                </c:pt>
                <c:pt idx="3">
                  <c:v>23.739671761612396</c:v>
                </c:pt>
                <c:pt idx="4">
                  <c:v>24.081001505553804</c:v>
                </c:pt>
                <c:pt idx="5">
                  <c:v>24.077835008611384</c:v>
                </c:pt>
                <c:pt idx="6">
                  <c:v>24.213645898559427</c:v>
                </c:pt>
                <c:pt idx="7">
                  <c:v>24.419816678393879</c:v>
                </c:pt>
                <c:pt idx="8">
                  <c:v>24.418605958974709</c:v>
                </c:pt>
                <c:pt idx="9">
                  <c:v>24.526173722754333</c:v>
                </c:pt>
                <c:pt idx="10">
                  <c:v>24.421472078291927</c:v>
                </c:pt>
                <c:pt idx="11">
                  <c:v>24.46366099343663</c:v>
                </c:pt>
                <c:pt idx="12">
                  <c:v>24.347945691463128</c:v>
                </c:pt>
                <c:pt idx="13">
                  <c:v>24.361518951387328</c:v>
                </c:pt>
                <c:pt idx="14">
                  <c:v>24.411182498048728</c:v>
                </c:pt>
                <c:pt idx="15">
                  <c:v>24.607691573005429</c:v>
                </c:pt>
                <c:pt idx="16">
                  <c:v>24.598285214441127</c:v>
                </c:pt>
                <c:pt idx="17">
                  <c:v>24.601731108172629</c:v>
                </c:pt>
                <c:pt idx="18">
                  <c:v>24.597167627285028</c:v>
                </c:pt>
                <c:pt idx="19">
                  <c:v>24.600892917805528</c:v>
                </c:pt>
                <c:pt idx="20">
                  <c:v>24.464502253443129</c:v>
                </c:pt>
                <c:pt idx="21">
                  <c:v>24.564340039392729</c:v>
                </c:pt>
                <c:pt idx="22">
                  <c:v>24.633978921650527</c:v>
                </c:pt>
                <c:pt idx="23">
                  <c:v>24.67635410132133</c:v>
                </c:pt>
                <c:pt idx="24">
                  <c:v>24.676726630373427</c:v>
                </c:pt>
              </c:numCache>
            </c:numRef>
          </c:yVal>
          <c:smooth val="0"/>
        </c:ser>
        <c:ser>
          <c:idx val="5"/>
          <c:order val="5"/>
          <c:tx>
            <c:v>45 mg Soil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[2]Controls!$AN$53:$AN$59</c:f>
                <c:numCache>
                  <c:formatCode>General</c:formatCode>
                  <c:ptCount val="7"/>
                  <c:pt idx="0">
                    <c:v>0.102587</c:v>
                  </c:pt>
                  <c:pt idx="1">
                    <c:v>0.1125854</c:v>
                  </c:pt>
                  <c:pt idx="2">
                    <c:v>9.6528736399999995E-2</c:v>
                  </c:pt>
                  <c:pt idx="3">
                    <c:v>0.152697</c:v>
                  </c:pt>
                  <c:pt idx="4">
                    <c:v>0.13250677999999999</c:v>
                  </c:pt>
                  <c:pt idx="5">
                    <c:v>0</c:v>
                  </c:pt>
                  <c:pt idx="6">
                    <c:v>9.8567409999999994E-2</c:v>
                  </c:pt>
                </c:numCache>
              </c:numRef>
            </c:plus>
            <c:minus>
              <c:numRef>
                <c:f>[2]Controls!$AN$53:$AN$59</c:f>
                <c:numCache>
                  <c:formatCode>General</c:formatCode>
                  <c:ptCount val="7"/>
                  <c:pt idx="0">
                    <c:v>0.102587</c:v>
                  </c:pt>
                  <c:pt idx="1">
                    <c:v>0.1125854</c:v>
                  </c:pt>
                  <c:pt idx="2">
                    <c:v>9.6528736399999995E-2</c:v>
                  </c:pt>
                  <c:pt idx="3">
                    <c:v>0.152697</c:v>
                  </c:pt>
                  <c:pt idx="4">
                    <c:v>0.13250677999999999</c:v>
                  </c:pt>
                  <c:pt idx="5">
                    <c:v>0</c:v>
                  </c:pt>
                  <c:pt idx="6">
                    <c:v>9.8567409999999994E-2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[2]Controls!$F$53:$F$77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  <c:extLst xmlns:c15="http://schemas.microsoft.com/office/drawing/2012/chart"/>
            </c:numRef>
          </c:xVal>
          <c:yVal>
            <c:numRef>
              <c:f>[2]Controls!$AM$53:$AM$77</c:f>
              <c:numCache>
                <c:formatCode>General</c:formatCode>
                <c:ptCount val="25"/>
                <c:pt idx="0">
                  <c:v>22.883600000000001</c:v>
                </c:pt>
                <c:pt idx="1">
                  <c:v>22.907348727068232</c:v>
                </c:pt>
                <c:pt idx="2">
                  <c:v>23.225302272993453</c:v>
                </c:pt>
                <c:pt idx="3">
                  <c:v>23.41813108874145</c:v>
                </c:pt>
                <c:pt idx="4">
                  <c:v>23.563186123203398</c:v>
                </c:pt>
                <c:pt idx="5">
                  <c:v>23.559647097208913</c:v>
                </c:pt>
                <c:pt idx="6">
                  <c:v>23.577411922896648</c:v>
                </c:pt>
                <c:pt idx="7">
                  <c:v>23.436991906821241</c:v>
                </c:pt>
                <c:pt idx="8">
                  <c:v>23.559181435893848</c:v>
                </c:pt>
                <c:pt idx="9">
                  <c:v>23.554059161428153</c:v>
                </c:pt>
                <c:pt idx="10">
                  <c:v>23.555083616321301</c:v>
                </c:pt>
                <c:pt idx="11">
                  <c:v>23.554524822743215</c:v>
                </c:pt>
                <c:pt idx="12">
                  <c:v>23.55461795500624</c:v>
                </c:pt>
                <c:pt idx="13">
                  <c:v>23.721138441272885</c:v>
                </c:pt>
                <c:pt idx="14">
                  <c:v>23.560671552102061</c:v>
                </c:pt>
                <c:pt idx="15">
                  <c:v>23.76435181131075</c:v>
                </c:pt>
                <c:pt idx="16">
                  <c:v>23.910755728766652</c:v>
                </c:pt>
                <c:pt idx="17">
                  <c:v>23.900511179835259</c:v>
                </c:pt>
                <c:pt idx="18">
                  <c:v>23.902746354147578</c:v>
                </c:pt>
                <c:pt idx="19">
                  <c:v>23.892781202005228</c:v>
                </c:pt>
                <c:pt idx="20">
                  <c:v>23.897158418366818</c:v>
                </c:pt>
                <c:pt idx="21">
                  <c:v>23.895109508580546</c:v>
                </c:pt>
                <c:pt idx="22">
                  <c:v>23.896599624788731</c:v>
                </c:pt>
                <c:pt idx="23">
                  <c:v>23.899207328153093</c:v>
                </c:pt>
                <c:pt idx="24">
                  <c:v>23.902373825095513</c:v>
                </c:pt>
              </c:numCache>
              <c:extLst xmlns:c15="http://schemas.microsoft.com/office/drawing/2012/chart"/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529664"/>
        <c:axId val="315530056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v>2mg CTAB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[2]Controls!$F$53:$F$59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[2]Controls!$M$53:$M$77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22.883602849999999</c:v>
                      </c:pt>
                      <c:pt idx="1">
                        <c:v>22.877456120641181</c:v>
                      </c:pt>
                      <c:pt idx="2">
                        <c:v>22.877456120641181</c:v>
                      </c:pt>
                      <c:pt idx="3">
                        <c:v>22.956711676464941</c:v>
                      </c:pt>
                      <c:pt idx="4">
                        <c:v>22.880156956268536</c:v>
                      </c:pt>
                      <c:pt idx="5">
                        <c:v>22.875034681802841</c:v>
                      </c:pt>
                      <c:pt idx="6">
                        <c:v>22.874010226909689</c:v>
                      </c:pt>
                      <c:pt idx="7">
                        <c:v>22.875779739906946</c:v>
                      </c:pt>
                      <c:pt idx="8">
                        <c:v>22.864697000608423</c:v>
                      </c:pt>
                      <c:pt idx="9">
                        <c:v>22.871309391282335</c:v>
                      </c:pt>
                      <c:pt idx="10">
                        <c:v>22.881367675687706</c:v>
                      </c:pt>
                      <c:pt idx="11">
                        <c:v>22.874103359172715</c:v>
                      </c:pt>
                      <c:pt idx="12">
                        <c:v>22.86404507476734</c:v>
                      </c:pt>
                      <c:pt idx="13">
                        <c:v>22.873172036542588</c:v>
                      </c:pt>
                      <c:pt idx="14">
                        <c:v>22.872706375227523</c:v>
                      </c:pt>
                      <c:pt idx="15">
                        <c:v>22.867025307183741</c:v>
                      </c:pt>
                      <c:pt idx="16">
                        <c:v>22.86488326513447</c:v>
                      </c:pt>
                      <c:pt idx="17">
                        <c:v>22.868981084707016</c:v>
                      </c:pt>
                      <c:pt idx="18">
                        <c:v>22.874848417276819</c:v>
                      </c:pt>
                      <c:pt idx="19">
                        <c:v>22.872520110701505</c:v>
                      </c:pt>
                      <c:pt idx="20">
                        <c:v>22.887514405046527</c:v>
                      </c:pt>
                      <c:pt idx="21">
                        <c:v>22.871495655808353</c:v>
                      </c:pt>
                      <c:pt idx="22">
                        <c:v>22.876524798011054</c:v>
                      </c:pt>
                      <c:pt idx="23">
                        <c:v>22.868981084707016</c:v>
                      </c:pt>
                      <c:pt idx="24">
                        <c:v>22.873544565594628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7"/>
                <c:order val="7"/>
                <c:tx>
                  <c:v>0.1mg MWCNT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x"/>
                  <c:size val="6"/>
                  <c:spPr>
                    <a:noFill/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[2]Controls!$F$53:$F$77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  <c:pt idx="7">
                        <c:v>35</c:v>
                      </c:pt>
                      <c:pt idx="8">
                        <c:v>40</c:v>
                      </c:pt>
                      <c:pt idx="9">
                        <c:v>45</c:v>
                      </c:pt>
                      <c:pt idx="10">
                        <c:v>50</c:v>
                      </c:pt>
                      <c:pt idx="11">
                        <c:v>55</c:v>
                      </c:pt>
                      <c:pt idx="12">
                        <c:v>60</c:v>
                      </c:pt>
                      <c:pt idx="13">
                        <c:v>65</c:v>
                      </c:pt>
                      <c:pt idx="14">
                        <c:v>70</c:v>
                      </c:pt>
                      <c:pt idx="15">
                        <c:v>75</c:v>
                      </c:pt>
                      <c:pt idx="16">
                        <c:v>80</c:v>
                      </c:pt>
                      <c:pt idx="17">
                        <c:v>85</c:v>
                      </c:pt>
                      <c:pt idx="18">
                        <c:v>90</c:v>
                      </c:pt>
                      <c:pt idx="19">
                        <c:v>95</c:v>
                      </c:pt>
                      <c:pt idx="20">
                        <c:v>100</c:v>
                      </c:pt>
                      <c:pt idx="21">
                        <c:v>105</c:v>
                      </c:pt>
                      <c:pt idx="22">
                        <c:v>110</c:v>
                      </c:pt>
                      <c:pt idx="23">
                        <c:v>115</c:v>
                      </c:pt>
                      <c:pt idx="24">
                        <c:v>120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[2]Controls!$AQ$53:$AQ$59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22.883600000000001</c:v>
                      </c:pt>
                      <c:pt idx="1">
                        <c:v>26.462091000000001</c:v>
                      </c:pt>
                      <c:pt idx="2">
                        <c:v>27.732600000000001</c:v>
                      </c:pt>
                      <c:pt idx="3">
                        <c:v>28.522311999999999</c:v>
                      </c:pt>
                      <c:pt idx="4">
                        <c:v>29.261703400000002</c:v>
                      </c:pt>
                      <c:pt idx="5">
                        <c:v>30.165313400000002</c:v>
                      </c:pt>
                      <c:pt idx="6">
                        <c:v>30.668510000000001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8"/>
                <c:order val="8"/>
                <c:tx>
                  <c:v>0.1mg SWCNT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ash"/>
                  <c:size val="6"/>
                  <c:spPr>
                    <a:solidFill>
                      <a:srgbClr val="FFC000"/>
                    </a:solidFill>
                    <a:ln w="9525">
                      <a:solidFill>
                        <a:srgbClr val="FFC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[2]Controls!$F$53:$F$77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  <c:pt idx="7">
                        <c:v>35</c:v>
                      </c:pt>
                      <c:pt idx="8">
                        <c:v>40</c:v>
                      </c:pt>
                      <c:pt idx="9">
                        <c:v>45</c:v>
                      </c:pt>
                      <c:pt idx="10">
                        <c:v>50</c:v>
                      </c:pt>
                      <c:pt idx="11">
                        <c:v>55</c:v>
                      </c:pt>
                      <c:pt idx="12">
                        <c:v>60</c:v>
                      </c:pt>
                      <c:pt idx="13">
                        <c:v>65</c:v>
                      </c:pt>
                      <c:pt idx="14">
                        <c:v>70</c:v>
                      </c:pt>
                      <c:pt idx="15">
                        <c:v>75</c:v>
                      </c:pt>
                      <c:pt idx="16">
                        <c:v>80</c:v>
                      </c:pt>
                      <c:pt idx="17">
                        <c:v>85</c:v>
                      </c:pt>
                      <c:pt idx="18">
                        <c:v>90</c:v>
                      </c:pt>
                      <c:pt idx="19">
                        <c:v>95</c:v>
                      </c:pt>
                      <c:pt idx="20">
                        <c:v>100</c:v>
                      </c:pt>
                      <c:pt idx="21">
                        <c:v>105</c:v>
                      </c:pt>
                      <c:pt idx="22">
                        <c:v>110</c:v>
                      </c:pt>
                      <c:pt idx="23">
                        <c:v>115</c:v>
                      </c:pt>
                      <c:pt idx="24">
                        <c:v>120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[2]Controls!$AV$53:$AV$59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22.883600000000001</c:v>
                      </c:pt>
                      <c:pt idx="1">
                        <c:v>25.258500000000002</c:v>
                      </c:pt>
                      <c:pt idx="2">
                        <c:v>26.162015</c:v>
                      </c:pt>
                      <c:pt idx="3">
                        <c:v>27.371002000000001</c:v>
                      </c:pt>
                      <c:pt idx="4">
                        <c:v>27.880324000000002</c:v>
                      </c:pt>
                      <c:pt idx="5">
                        <c:v>28.491446100000001</c:v>
                      </c:pt>
                      <c:pt idx="6">
                        <c:v>28.982345100000003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9"/>
                <c:order val="9"/>
                <c:tx>
                  <c:v>0.1mg MWCNT-COOH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tar"/>
                  <c:size val="6"/>
                  <c:spPr>
                    <a:noFill/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[2]Controls!$F$53:$F$77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  <c:pt idx="7">
                        <c:v>35</c:v>
                      </c:pt>
                      <c:pt idx="8">
                        <c:v>40</c:v>
                      </c:pt>
                      <c:pt idx="9">
                        <c:v>45</c:v>
                      </c:pt>
                      <c:pt idx="10">
                        <c:v>50</c:v>
                      </c:pt>
                      <c:pt idx="11">
                        <c:v>55</c:v>
                      </c:pt>
                      <c:pt idx="12">
                        <c:v>60</c:v>
                      </c:pt>
                      <c:pt idx="13">
                        <c:v>65</c:v>
                      </c:pt>
                      <c:pt idx="14">
                        <c:v>70</c:v>
                      </c:pt>
                      <c:pt idx="15">
                        <c:v>75</c:v>
                      </c:pt>
                      <c:pt idx="16">
                        <c:v>80</c:v>
                      </c:pt>
                      <c:pt idx="17">
                        <c:v>85</c:v>
                      </c:pt>
                      <c:pt idx="18">
                        <c:v>90</c:v>
                      </c:pt>
                      <c:pt idx="19">
                        <c:v>95</c:v>
                      </c:pt>
                      <c:pt idx="20">
                        <c:v>100</c:v>
                      </c:pt>
                      <c:pt idx="21">
                        <c:v>105</c:v>
                      </c:pt>
                      <c:pt idx="22">
                        <c:v>110</c:v>
                      </c:pt>
                      <c:pt idx="23">
                        <c:v>115</c:v>
                      </c:pt>
                      <c:pt idx="24">
                        <c:v>120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[2]Controls!$BA$53:$BA$59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22.883600000000001</c:v>
                      </c:pt>
                      <c:pt idx="1">
                        <c:v>24.663081000000002</c:v>
                      </c:pt>
                      <c:pt idx="2">
                        <c:v>25.341540999999999</c:v>
                      </c:pt>
                      <c:pt idx="3">
                        <c:v>26.171091000000001</c:v>
                      </c:pt>
                      <c:pt idx="4">
                        <c:v>26.754240000000003</c:v>
                      </c:pt>
                      <c:pt idx="5">
                        <c:v>26.962019700000003</c:v>
                      </c:pt>
                      <c:pt idx="6">
                        <c:v>27.265540300000001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15529664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/>
                  <a:t>Time (sec)</a:t>
                </a:r>
              </a:p>
            </c:rich>
          </c:tx>
          <c:layout>
            <c:manualLayout>
              <c:xMode val="edge"/>
              <c:yMode val="edge"/>
              <c:x val="0.42946261113385292"/>
              <c:y val="0.9344456942882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30056"/>
        <c:crosses val="autoZero"/>
        <c:crossBetween val="midCat"/>
      </c:valAx>
      <c:valAx>
        <c:axId val="315530056"/>
        <c:scaling>
          <c:orientation val="minMax"/>
          <c:max val="27"/>
          <c:min val="2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 (</a:t>
                </a: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2966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424604225695028"/>
          <c:y val="9.7849811456494767E-2"/>
          <c:w val="0.45230708928967978"/>
          <c:h val="0.311523308721357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a)</a:t>
            </a:r>
          </a:p>
        </c:rich>
      </c:tx>
      <c:layout>
        <c:manualLayout>
          <c:xMode val="edge"/>
          <c:yMode val="edge"/>
          <c:x val="6.679067639480832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6524731044705041"/>
          <c:y val="9.1862754960507997E-2"/>
          <c:w val="0.79015533990972842"/>
          <c:h val="0.77111092820714489"/>
        </c:manualLayout>
      </c:layout>
      <c:scatterChart>
        <c:scatterStyle val="lineMarker"/>
        <c:varyColors val="0"/>
        <c:ser>
          <c:idx val="0"/>
          <c:order val="0"/>
          <c:tx>
            <c:v>38 mg C60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[2]Controls!$T$53:$T$59</c:f>
                <c:numCache>
                  <c:formatCode>General</c:formatCode>
                  <c:ptCount val="7"/>
                  <c:pt idx="0">
                    <c:v>0.18745149999999999</c:v>
                  </c:pt>
                  <c:pt idx="1">
                    <c:v>0.21035870000000001</c:v>
                  </c:pt>
                  <c:pt idx="2">
                    <c:v>0.19841064999999999</c:v>
                  </c:pt>
                  <c:pt idx="3">
                    <c:v>0.25620169999999998</c:v>
                  </c:pt>
                  <c:pt idx="4">
                    <c:v>0.24415832000000001</c:v>
                  </c:pt>
                  <c:pt idx="5">
                    <c:v>0.21058099999999999</c:v>
                  </c:pt>
                  <c:pt idx="6">
                    <c:v>0.15418699999999999</c:v>
                  </c:pt>
                </c:numCache>
              </c:numRef>
            </c:plus>
            <c:minus>
              <c:numRef>
                <c:f>[2]Controls!$T$53:$T$59</c:f>
                <c:numCache>
                  <c:formatCode>General</c:formatCode>
                  <c:ptCount val="7"/>
                  <c:pt idx="0">
                    <c:v>0.18745149999999999</c:v>
                  </c:pt>
                  <c:pt idx="1">
                    <c:v>0.21035870000000001</c:v>
                  </c:pt>
                  <c:pt idx="2">
                    <c:v>0.19841064999999999</c:v>
                  </c:pt>
                  <c:pt idx="3">
                    <c:v>0.25620169999999998</c:v>
                  </c:pt>
                  <c:pt idx="4">
                    <c:v>0.24415832000000001</c:v>
                  </c:pt>
                  <c:pt idx="5">
                    <c:v>0.21058099999999999</c:v>
                  </c:pt>
                  <c:pt idx="6">
                    <c:v>0.15418699999999999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[2]Controls!$AY$79:$AY$85</c:f>
              <c:numCache>
                <c:formatCode>General</c:formatCode>
                <c:ptCount val="7"/>
                <c:pt idx="0">
                  <c:v>22.8</c:v>
                </c:pt>
                <c:pt idx="1">
                  <c:v>22.805122274465695</c:v>
                </c:pt>
                <c:pt idx="2">
                  <c:v>22.802793967890381</c:v>
                </c:pt>
                <c:pt idx="3">
                  <c:v>22.805308538991717</c:v>
                </c:pt>
                <c:pt idx="4">
                  <c:v>22.882328920503184</c:v>
                </c:pt>
                <c:pt idx="5">
                  <c:v>22.85513429970349</c:v>
                </c:pt>
                <c:pt idx="6">
                  <c:v>22.8</c:v>
                </c:pt>
              </c:numCache>
            </c:numRef>
          </c:yVal>
          <c:smooth val="0"/>
        </c:ser>
        <c:ser>
          <c:idx val="2"/>
          <c:order val="2"/>
          <c:tx>
            <c:v>10 mg GAC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[2]Controls!$AE$53:$AE$59</c:f>
                <c:numCache>
                  <c:formatCode>General</c:formatCode>
                  <c:ptCount val="7"/>
                  <c:pt idx="0">
                    <c:v>0.10571</c:v>
                  </c:pt>
                  <c:pt idx="1">
                    <c:v>5.8471000000000002E-2</c:v>
                  </c:pt>
                  <c:pt idx="2">
                    <c:v>1.25681E-2</c:v>
                  </c:pt>
                  <c:pt idx="3">
                    <c:v>8.4909999999999999E-2</c:v>
                  </c:pt>
                  <c:pt idx="4">
                    <c:v>8.9510000000000006E-2</c:v>
                  </c:pt>
                  <c:pt idx="5">
                    <c:v>3.5217999999999999E-2</c:v>
                  </c:pt>
                  <c:pt idx="6">
                    <c:v>2.6700000000000002E-2</c:v>
                  </c:pt>
                </c:numCache>
              </c:numRef>
            </c:plus>
            <c:minus>
              <c:numRef>
                <c:f>[2]Controls!$AE$53:$AE$59</c:f>
                <c:numCache>
                  <c:formatCode>General</c:formatCode>
                  <c:ptCount val="7"/>
                  <c:pt idx="0">
                    <c:v>0.10571</c:v>
                  </c:pt>
                  <c:pt idx="1">
                    <c:v>5.8471000000000002E-2</c:v>
                  </c:pt>
                  <c:pt idx="2">
                    <c:v>1.25681E-2</c:v>
                  </c:pt>
                  <c:pt idx="3">
                    <c:v>8.4909999999999999E-2</c:v>
                  </c:pt>
                  <c:pt idx="4">
                    <c:v>8.9510000000000006E-2</c:v>
                  </c:pt>
                  <c:pt idx="5">
                    <c:v>3.5217999999999999E-2</c:v>
                  </c:pt>
                  <c:pt idx="6">
                    <c:v>2.6700000000000002E-2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7030A0"/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[2]Controls!$BA$79:$BA$85</c:f>
              <c:numCache>
                <c:formatCode>General</c:formatCode>
                <c:ptCount val="7"/>
                <c:pt idx="0">
                  <c:v>22.8</c:v>
                </c:pt>
                <c:pt idx="1">
                  <c:v>22.801210719419171</c:v>
                </c:pt>
                <c:pt idx="2">
                  <c:v>22.810710210246455</c:v>
                </c:pt>
                <c:pt idx="3">
                  <c:v>23.041305693465819</c:v>
                </c:pt>
                <c:pt idx="4">
                  <c:v>23.123262084916963</c:v>
                </c:pt>
                <c:pt idx="5">
                  <c:v>23.150549837979653</c:v>
                </c:pt>
                <c:pt idx="6">
                  <c:v>23.150829234768697</c:v>
                </c:pt>
              </c:numCache>
            </c:numRef>
          </c:yVal>
          <c:smooth val="0"/>
        </c:ser>
        <c:ser>
          <c:idx val="4"/>
          <c:order val="4"/>
          <c:tx>
            <c:v>5 mg GO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[2]Controls!$AK$53:$AK$59</c:f>
                <c:numCache>
                  <c:formatCode>General</c:formatCode>
                  <c:ptCount val="7"/>
                  <c:pt idx="0">
                    <c:v>0.28491</c:v>
                  </c:pt>
                  <c:pt idx="1">
                    <c:v>0.21259700000000001</c:v>
                  </c:pt>
                  <c:pt idx="2">
                    <c:v>0.136821</c:v>
                  </c:pt>
                  <c:pt idx="3">
                    <c:v>0.1984157</c:v>
                  </c:pt>
                  <c:pt idx="4">
                    <c:v>0.23583999999999999</c:v>
                  </c:pt>
                  <c:pt idx="5">
                    <c:v>0.240284</c:v>
                  </c:pt>
                  <c:pt idx="6">
                    <c:v>0.18287410000000001</c:v>
                  </c:pt>
                </c:numCache>
              </c:numRef>
            </c:plus>
            <c:minus>
              <c:numRef>
                <c:f>[2]Controls!$AK$53:$AK$59</c:f>
                <c:numCache>
                  <c:formatCode>General</c:formatCode>
                  <c:ptCount val="7"/>
                  <c:pt idx="0">
                    <c:v>0.28491</c:v>
                  </c:pt>
                  <c:pt idx="1">
                    <c:v>0.21259700000000001</c:v>
                  </c:pt>
                  <c:pt idx="2">
                    <c:v>0.136821</c:v>
                  </c:pt>
                  <c:pt idx="3">
                    <c:v>0.1984157</c:v>
                  </c:pt>
                  <c:pt idx="4">
                    <c:v>0.23583999999999999</c:v>
                  </c:pt>
                  <c:pt idx="5">
                    <c:v>0.240284</c:v>
                  </c:pt>
                  <c:pt idx="6">
                    <c:v>0.18287410000000001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[2]Controls!$BC$79:$BC$85</c:f>
              <c:numCache>
                <c:formatCode>General</c:formatCode>
                <c:ptCount val="7"/>
                <c:pt idx="0">
                  <c:v>22.8</c:v>
                </c:pt>
                <c:pt idx="1">
                  <c:v>24.673914264077776</c:v>
                </c:pt>
                <c:pt idx="2">
                  <c:v>24.937199171614569</c:v>
                </c:pt>
                <c:pt idx="3">
                  <c:v>25.019062430802688</c:v>
                </c:pt>
                <c:pt idx="4">
                  <c:v>25.014405817652055</c:v>
                </c:pt>
                <c:pt idx="5">
                  <c:v>25.017572314594503</c:v>
                </c:pt>
                <c:pt idx="6">
                  <c:v>25.354711106700343</c:v>
                </c:pt>
              </c:numCache>
            </c:numRef>
          </c:yVal>
          <c:smooth val="0"/>
        </c:ser>
        <c:ser>
          <c:idx val="7"/>
          <c:order val="7"/>
          <c:tx>
            <c:v>0.1 mg MWCNT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[2]Controls!$AT$53:$AT$59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0.45177944616984922</c:v>
                  </c:pt>
                  <c:pt idx="2">
                    <c:v>0.29087844992411155</c:v>
                  </c:pt>
                  <c:pt idx="3">
                    <c:v>0.34338631176404172</c:v>
                  </c:pt>
                  <c:pt idx="4">
                    <c:v>0.20217878790533295</c:v>
                  </c:pt>
                  <c:pt idx="5">
                    <c:v>0.24106118483873298</c:v>
                  </c:pt>
                  <c:pt idx="6">
                    <c:v>0.4110378008898124</c:v>
                  </c:pt>
                </c:numCache>
              </c:numRef>
            </c:plus>
            <c:minus>
              <c:numRef>
                <c:f>[2]Controls!$AT$53:$AT$59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0.45177944616984922</c:v>
                  </c:pt>
                  <c:pt idx="2">
                    <c:v>0.29087844992411155</c:v>
                  </c:pt>
                  <c:pt idx="3">
                    <c:v>0.34338631176404172</c:v>
                  </c:pt>
                  <c:pt idx="4">
                    <c:v>0.20217878790533295</c:v>
                  </c:pt>
                  <c:pt idx="5">
                    <c:v>0.24106118483873298</c:v>
                  </c:pt>
                  <c:pt idx="6">
                    <c:v>0.4110378008898124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4">
                    <a:lumMod val="75000"/>
                  </a:schemeClr>
                </a:solidFill>
                <a:round/>
              </a:ln>
              <a:effectLst/>
            </c:spPr>
          </c:errBars>
          <c:xVal>
            <c:numRef>
              <c:f>[2]Controls!$F$53:$F$77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</c:numRef>
          </c:xVal>
          <c:yVal>
            <c:numRef>
              <c:f>[2]Controls!$AU$53:$AU$59</c:f>
              <c:numCache>
                <c:formatCode>General</c:formatCode>
                <c:ptCount val="7"/>
                <c:pt idx="0">
                  <c:v>22.883600000000001</c:v>
                </c:pt>
                <c:pt idx="1">
                  <c:v>26.579267636666668</c:v>
                </c:pt>
                <c:pt idx="2">
                  <c:v>27.984544313333334</c:v>
                </c:pt>
                <c:pt idx="3">
                  <c:v>28.421052208000003</c:v>
                </c:pt>
                <c:pt idx="4">
                  <c:v>29.277513167799999</c:v>
                </c:pt>
                <c:pt idx="5">
                  <c:v>29.915322266666667</c:v>
                </c:pt>
                <c:pt idx="6">
                  <c:v>30.837290333333332</c:v>
                </c:pt>
              </c:numCache>
            </c:numRef>
          </c:yVal>
          <c:smooth val="0"/>
        </c:ser>
        <c:ser>
          <c:idx val="8"/>
          <c:order val="8"/>
          <c:tx>
            <c:v>0.1 mg SWCNT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6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[2]Controls!$AY$53:$AY$59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0.26187862990456906</c:v>
                  </c:pt>
                  <c:pt idx="2">
                    <c:v>0.35251279224400472</c:v>
                  </c:pt>
                  <c:pt idx="3">
                    <c:v>0.33274342406756446</c:v>
                  </c:pt>
                  <c:pt idx="4">
                    <c:v>0.39758598393271877</c:v>
                  </c:pt>
                  <c:pt idx="5">
                    <c:v>0.19384397418888891</c:v>
                  </c:pt>
                  <c:pt idx="6">
                    <c:v>0.3783891467099621</c:v>
                  </c:pt>
                </c:numCache>
              </c:numRef>
            </c:plus>
            <c:minus>
              <c:numRef>
                <c:f>[2]Controls!$AY$53:$AY$59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0.26187862990456906</c:v>
                  </c:pt>
                  <c:pt idx="2">
                    <c:v>0.35251279224400472</c:v>
                  </c:pt>
                  <c:pt idx="3">
                    <c:v>0.33274342406756446</c:v>
                  </c:pt>
                  <c:pt idx="4">
                    <c:v>0.39758598393271877</c:v>
                  </c:pt>
                  <c:pt idx="5">
                    <c:v>0.19384397418888891</c:v>
                  </c:pt>
                  <c:pt idx="6">
                    <c:v>0.3783891467099621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[2]Controls!$AZ$53:$AZ$59</c:f>
              <c:numCache>
                <c:formatCode>General</c:formatCode>
                <c:ptCount val="7"/>
                <c:pt idx="0">
                  <c:v>22.883600000000001</c:v>
                </c:pt>
                <c:pt idx="1">
                  <c:v>25.395492811666667</c:v>
                </c:pt>
                <c:pt idx="2">
                  <c:v>26.083249134333332</c:v>
                </c:pt>
                <c:pt idx="3">
                  <c:v>27.363307603406668</c:v>
                </c:pt>
                <c:pt idx="4">
                  <c:v>27.823376945213337</c:v>
                </c:pt>
                <c:pt idx="5">
                  <c:v>28.447091674000003</c:v>
                </c:pt>
                <c:pt idx="6">
                  <c:v>28.923997334000003</c:v>
                </c:pt>
              </c:numCache>
            </c:numRef>
          </c:yVal>
          <c:smooth val="0"/>
        </c:ser>
        <c:ser>
          <c:idx val="9"/>
          <c:order val="9"/>
          <c:tx>
            <c:v>0.1 mg MWCNT-COOH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[2]Controls!$BD$53:$BD$59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0.10127758275533449</c:v>
                  </c:pt>
                  <c:pt idx="2">
                    <c:v>0.19395219342233105</c:v>
                  </c:pt>
                  <c:pt idx="3">
                    <c:v>0.1242153982639435</c:v>
                  </c:pt>
                  <c:pt idx="4">
                    <c:v>0.27960455897894443</c:v>
                  </c:pt>
                  <c:pt idx="5">
                    <c:v>0.17149462338575161</c:v>
                  </c:pt>
                  <c:pt idx="6">
                    <c:v>9.3523229713304568E-2</c:v>
                  </c:pt>
                </c:numCache>
              </c:numRef>
            </c:plus>
            <c:minus>
              <c:numRef>
                <c:f>[2]Controls!$BD$53:$BD$59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0.10127758275533449</c:v>
                  </c:pt>
                  <c:pt idx="2">
                    <c:v>0.19395219342233105</c:v>
                  </c:pt>
                  <c:pt idx="3">
                    <c:v>0.1242153982639435</c:v>
                  </c:pt>
                  <c:pt idx="4">
                    <c:v>0.27960455897894443</c:v>
                  </c:pt>
                  <c:pt idx="5">
                    <c:v>0.17149462338575161</c:v>
                  </c:pt>
                  <c:pt idx="6">
                    <c:v>9.3523229713304568E-2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7030A0"/>
                </a:solidFill>
                <a:round/>
              </a:ln>
              <a:effectLst/>
            </c:spPr>
          </c:errBars>
          <c:xVal>
            <c:numRef>
              <c:f>[2]Controls!$F$53:$F$59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[2]Controls!$BE$53:$BE$59</c:f>
              <c:numCache>
                <c:formatCode>General</c:formatCode>
                <c:ptCount val="7"/>
                <c:pt idx="0">
                  <c:v>22.883600000000001</c:v>
                </c:pt>
                <c:pt idx="1">
                  <c:v>24.604608360333334</c:v>
                </c:pt>
                <c:pt idx="2">
                  <c:v>25.299474333333336</c:v>
                </c:pt>
                <c:pt idx="3">
                  <c:v>26.314463700000001</c:v>
                </c:pt>
                <c:pt idx="4">
                  <c:v>26.690221713333333</c:v>
                </c:pt>
                <c:pt idx="5">
                  <c:v>27.119245200656668</c:v>
                </c:pt>
                <c:pt idx="6">
                  <c:v>27.373269836477665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530840"/>
        <c:axId val="31553123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10mgsludge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[2]Controls!$F$53:$F$77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  <c:pt idx="7">
                        <c:v>35</c:v>
                      </c:pt>
                      <c:pt idx="8">
                        <c:v>40</c:v>
                      </c:pt>
                      <c:pt idx="9">
                        <c:v>45</c:v>
                      </c:pt>
                      <c:pt idx="10">
                        <c:v>50</c:v>
                      </c:pt>
                      <c:pt idx="11">
                        <c:v>55</c:v>
                      </c:pt>
                      <c:pt idx="12">
                        <c:v>60</c:v>
                      </c:pt>
                      <c:pt idx="13">
                        <c:v>65</c:v>
                      </c:pt>
                      <c:pt idx="14">
                        <c:v>70</c:v>
                      </c:pt>
                      <c:pt idx="15">
                        <c:v>75</c:v>
                      </c:pt>
                      <c:pt idx="16">
                        <c:v>80</c:v>
                      </c:pt>
                      <c:pt idx="17">
                        <c:v>85</c:v>
                      </c:pt>
                      <c:pt idx="18">
                        <c:v>90</c:v>
                      </c:pt>
                      <c:pt idx="19">
                        <c:v>95</c:v>
                      </c:pt>
                      <c:pt idx="20">
                        <c:v>100</c:v>
                      </c:pt>
                      <c:pt idx="21">
                        <c:v>105</c:v>
                      </c:pt>
                      <c:pt idx="22">
                        <c:v>110</c:v>
                      </c:pt>
                      <c:pt idx="23">
                        <c:v>115</c:v>
                      </c:pt>
                      <c:pt idx="24">
                        <c:v>120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[2]Controls!$W$53:$W$77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22.883600000000001</c:v>
                      </c:pt>
                      <c:pt idx="1">
                        <c:v>23.836156786093486</c:v>
                      </c:pt>
                      <c:pt idx="2">
                        <c:v>24.171060403887033</c:v>
                      </c:pt>
                      <c:pt idx="3">
                        <c:v>24.411434774722728</c:v>
                      </c:pt>
                      <c:pt idx="4">
                        <c:v>24.519561332080414</c:v>
                      </c:pt>
                      <c:pt idx="5">
                        <c:v>24.574229970468842</c:v>
                      </c:pt>
                      <c:pt idx="6">
                        <c:v>24.515836041559908</c:v>
                      </c:pt>
                      <c:pt idx="7">
                        <c:v>24.665406455958255</c:v>
                      </c:pt>
                      <c:pt idx="8">
                        <c:v>24.525335532387192</c:v>
                      </c:pt>
                      <c:pt idx="9">
                        <c:v>24.519561332080414</c:v>
                      </c:pt>
                      <c:pt idx="10">
                        <c:v>24.599841342797323</c:v>
                      </c:pt>
                      <c:pt idx="11">
                        <c:v>24.858562769446507</c:v>
                      </c:pt>
                      <c:pt idx="12">
                        <c:v>24.733858669272561</c:v>
                      </c:pt>
                      <c:pt idx="13">
                        <c:v>24.857631446816381</c:v>
                      </c:pt>
                      <c:pt idx="14">
                        <c:v>24.852509172350683</c:v>
                      </c:pt>
                      <c:pt idx="15">
                        <c:v>24.851484717457559</c:v>
                      </c:pt>
                      <c:pt idx="16">
                        <c:v>24.846455575254861</c:v>
                      </c:pt>
                      <c:pt idx="17">
                        <c:v>24.850553394827433</c:v>
                      </c:pt>
                      <c:pt idx="18">
                        <c:v>24.856327595134214</c:v>
                      </c:pt>
                      <c:pt idx="19">
                        <c:v>24.855303140241062</c:v>
                      </c:pt>
                      <c:pt idx="20">
                        <c:v>24.861356737336887</c:v>
                      </c:pt>
                      <c:pt idx="21">
                        <c:v>24.861915530914974</c:v>
                      </c:pt>
                      <c:pt idx="22">
                        <c:v>24.854558082136958</c:v>
                      </c:pt>
                      <c:pt idx="23">
                        <c:v>24.853347362717813</c:v>
                      </c:pt>
                      <c:pt idx="24">
                        <c:v>24.857631446816381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tx>
                  <c:v>60mg sand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tar"/>
                  <c:size val="6"/>
                  <c:spPr>
                    <a:noFill/>
                    <a:ln w="9525">
                      <a:solidFill>
                        <a:srgbClr val="00206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[2]Controls!$F$53:$F$77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  <c:pt idx="7">
                        <c:v>35</c:v>
                      </c:pt>
                      <c:pt idx="8">
                        <c:v>40</c:v>
                      </c:pt>
                      <c:pt idx="9">
                        <c:v>45</c:v>
                      </c:pt>
                      <c:pt idx="10">
                        <c:v>50</c:v>
                      </c:pt>
                      <c:pt idx="11">
                        <c:v>55</c:v>
                      </c:pt>
                      <c:pt idx="12">
                        <c:v>60</c:v>
                      </c:pt>
                      <c:pt idx="13">
                        <c:v>65</c:v>
                      </c:pt>
                      <c:pt idx="14">
                        <c:v>70</c:v>
                      </c:pt>
                      <c:pt idx="15">
                        <c:v>75</c:v>
                      </c:pt>
                      <c:pt idx="16">
                        <c:v>80</c:v>
                      </c:pt>
                      <c:pt idx="17">
                        <c:v>85</c:v>
                      </c:pt>
                      <c:pt idx="18">
                        <c:v>90</c:v>
                      </c:pt>
                      <c:pt idx="19">
                        <c:v>95</c:v>
                      </c:pt>
                      <c:pt idx="20">
                        <c:v>100</c:v>
                      </c:pt>
                      <c:pt idx="21">
                        <c:v>105</c:v>
                      </c:pt>
                      <c:pt idx="22">
                        <c:v>110</c:v>
                      </c:pt>
                      <c:pt idx="23">
                        <c:v>115</c:v>
                      </c:pt>
                      <c:pt idx="24">
                        <c:v>120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[2]Controls!$AD$53:$AD$77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22.883600000000001</c:v>
                      </c:pt>
                      <c:pt idx="1">
                        <c:v>22.883472019879353</c:v>
                      </c:pt>
                      <c:pt idx="2">
                        <c:v>22.791888771408143</c:v>
                      </c:pt>
                      <c:pt idx="3">
                        <c:v>22.896079723243716</c:v>
                      </c:pt>
                      <c:pt idx="4">
                        <c:v>22.922761809632899</c:v>
                      </c:pt>
                      <c:pt idx="5">
                        <c:v>22.909467332569804</c:v>
                      </c:pt>
                      <c:pt idx="6">
                        <c:v>22.941815406728718</c:v>
                      </c:pt>
                      <c:pt idx="7">
                        <c:v>22.920398655199929</c:v>
                      </c:pt>
                      <c:pt idx="8">
                        <c:v>22.941305522936933</c:v>
                      </c:pt>
                      <c:pt idx="9">
                        <c:v>22.899536009939677</c:v>
                      </c:pt>
                      <c:pt idx="10">
                        <c:v>22.893472019879354</c:v>
                      </c:pt>
                      <c:pt idx="11">
                        <c:v>22.890212390673913</c:v>
                      </c:pt>
                      <c:pt idx="12">
                        <c:v>22.886580232416428</c:v>
                      </c:pt>
                      <c:pt idx="13">
                        <c:v>22.891981903671141</c:v>
                      </c:pt>
                      <c:pt idx="14">
                        <c:v>22.890491787462956</c:v>
                      </c:pt>
                      <c:pt idx="15">
                        <c:v>22.962784841763089</c:v>
                      </c:pt>
                      <c:pt idx="16">
                        <c:v>22.928489750772126</c:v>
                      </c:pt>
                      <c:pt idx="17">
                        <c:v>22.856756927416185</c:v>
                      </c:pt>
                      <c:pt idx="18">
                        <c:v>22.833497912138586</c:v>
                      </c:pt>
                      <c:pt idx="19">
                        <c:v>22.893192623090311</c:v>
                      </c:pt>
                      <c:pt idx="20">
                        <c:v>22.942904270702886</c:v>
                      </c:pt>
                      <c:pt idx="21">
                        <c:v>22.899059955660114</c:v>
                      </c:pt>
                      <c:pt idx="22">
                        <c:v>22.967419036711398</c:v>
                      </c:pt>
                      <c:pt idx="23">
                        <c:v>22.953845776787187</c:v>
                      </c:pt>
                      <c:pt idx="24">
                        <c:v>22.916896318846685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5"/>
                <c:order val="5"/>
                <c:tx>
                  <c:v>48mg Soil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[2]Controls!$F$53:$F$77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  <c:pt idx="7">
                        <c:v>35</c:v>
                      </c:pt>
                      <c:pt idx="8">
                        <c:v>40</c:v>
                      </c:pt>
                      <c:pt idx="9">
                        <c:v>45</c:v>
                      </c:pt>
                      <c:pt idx="10">
                        <c:v>50</c:v>
                      </c:pt>
                      <c:pt idx="11">
                        <c:v>55</c:v>
                      </c:pt>
                      <c:pt idx="12">
                        <c:v>60</c:v>
                      </c:pt>
                      <c:pt idx="13">
                        <c:v>65</c:v>
                      </c:pt>
                      <c:pt idx="14">
                        <c:v>70</c:v>
                      </c:pt>
                      <c:pt idx="15">
                        <c:v>75</c:v>
                      </c:pt>
                      <c:pt idx="16">
                        <c:v>80</c:v>
                      </c:pt>
                      <c:pt idx="17">
                        <c:v>85</c:v>
                      </c:pt>
                      <c:pt idx="18">
                        <c:v>90</c:v>
                      </c:pt>
                      <c:pt idx="19">
                        <c:v>95</c:v>
                      </c:pt>
                      <c:pt idx="20">
                        <c:v>100</c:v>
                      </c:pt>
                      <c:pt idx="21">
                        <c:v>105</c:v>
                      </c:pt>
                      <c:pt idx="22">
                        <c:v>110</c:v>
                      </c:pt>
                      <c:pt idx="23">
                        <c:v>115</c:v>
                      </c:pt>
                      <c:pt idx="24">
                        <c:v>120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[2]Controls!$AM$53:$AM$77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22.883600000000001</c:v>
                      </c:pt>
                      <c:pt idx="1">
                        <c:v>22.907348727068232</c:v>
                      </c:pt>
                      <c:pt idx="2">
                        <c:v>23.225302272993453</c:v>
                      </c:pt>
                      <c:pt idx="3">
                        <c:v>23.41813108874145</c:v>
                      </c:pt>
                      <c:pt idx="4">
                        <c:v>23.563186123203398</c:v>
                      </c:pt>
                      <c:pt idx="5">
                        <c:v>23.559647097208913</c:v>
                      </c:pt>
                      <c:pt idx="6">
                        <c:v>23.577411922896648</c:v>
                      </c:pt>
                      <c:pt idx="7">
                        <c:v>23.436991906821241</c:v>
                      </c:pt>
                      <c:pt idx="8">
                        <c:v>23.559181435893848</c:v>
                      </c:pt>
                      <c:pt idx="9">
                        <c:v>23.554059161428153</c:v>
                      </c:pt>
                      <c:pt idx="10">
                        <c:v>23.555083616321301</c:v>
                      </c:pt>
                      <c:pt idx="11">
                        <c:v>23.554524822743215</c:v>
                      </c:pt>
                      <c:pt idx="12">
                        <c:v>23.55461795500624</c:v>
                      </c:pt>
                      <c:pt idx="13">
                        <c:v>23.721138441272885</c:v>
                      </c:pt>
                      <c:pt idx="14">
                        <c:v>23.560671552102061</c:v>
                      </c:pt>
                      <c:pt idx="15">
                        <c:v>23.76435181131075</c:v>
                      </c:pt>
                      <c:pt idx="16">
                        <c:v>23.910755728766652</c:v>
                      </c:pt>
                      <c:pt idx="17">
                        <c:v>23.900511179835259</c:v>
                      </c:pt>
                      <c:pt idx="18">
                        <c:v>23.902746354147578</c:v>
                      </c:pt>
                      <c:pt idx="19">
                        <c:v>23.892781202005228</c:v>
                      </c:pt>
                      <c:pt idx="20">
                        <c:v>23.897158418366818</c:v>
                      </c:pt>
                      <c:pt idx="21">
                        <c:v>23.895109508580546</c:v>
                      </c:pt>
                      <c:pt idx="22">
                        <c:v>23.896599624788731</c:v>
                      </c:pt>
                      <c:pt idx="23">
                        <c:v>23.899207328153093</c:v>
                      </c:pt>
                      <c:pt idx="24">
                        <c:v>23.902373825095513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6"/>
                <c:order val="6"/>
                <c:tx>
                  <c:v>2 mg CTAB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errBars>
                  <c:errDir val="y"/>
                  <c:errBarType val="both"/>
                  <c:errValType val="cust"/>
                  <c:noEndCap val="0"/>
                  <c:pl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[2]Controls!$P$53:$P$59</c15:sqref>
                          </c15:formulaRef>
                        </c:ext>
                      </c:extLst>
                      <c:numCache>
                        <c:formatCode>General</c:formatCode>
                        <c:ptCount val="7"/>
                        <c:pt idx="0">
                          <c:v>0.4260124676063326</c:v>
                        </c:pt>
                        <c:pt idx="1">
                          <c:v>0.2356930934554288</c:v>
                        </c:pt>
                        <c:pt idx="2">
                          <c:v>0.23141255389840235</c:v>
                        </c:pt>
                        <c:pt idx="3">
                          <c:v>0.29410599479517224</c:v>
                        </c:pt>
                        <c:pt idx="4">
                          <c:v>0.23878825282742966</c:v>
                        </c:pt>
                        <c:pt idx="5">
                          <c:v>0.23549553009125454</c:v>
                        </c:pt>
                        <c:pt idx="6">
                          <c:v>0.23681261918570448</c:v>
                        </c:pt>
                      </c:numCache>
                    </c:numRef>
                  </c:plus>
                  <c:minus>
                    <c:numRef>
                      <c:extLst xmlns:c15="http://schemas.microsoft.com/office/drawing/2012/chart">
                        <c:ext xmlns:c15="http://schemas.microsoft.com/office/drawing/2012/chart" uri="{02D57815-91ED-43cb-92C2-25804820EDAC}">
                          <c15:formulaRef>
                            <c15:sqref>[2]Controls!$P$53:$P$59</c15:sqref>
                          </c15:formulaRef>
                        </c:ext>
                      </c:extLst>
                      <c:numCache>
                        <c:formatCode>General</c:formatCode>
                        <c:ptCount val="7"/>
                        <c:pt idx="0">
                          <c:v>0.4260124676063326</c:v>
                        </c:pt>
                        <c:pt idx="1">
                          <c:v>0.2356930934554288</c:v>
                        </c:pt>
                        <c:pt idx="2">
                          <c:v>0.23141255389840235</c:v>
                        </c:pt>
                        <c:pt idx="3">
                          <c:v>0.29410599479517224</c:v>
                        </c:pt>
                        <c:pt idx="4">
                          <c:v>0.23878825282742966</c:v>
                        </c:pt>
                        <c:pt idx="5">
                          <c:v>0.23549553009125454</c:v>
                        </c:pt>
                        <c:pt idx="6">
                          <c:v>0.23681261918570448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[2]Controls!$F$53:$F$59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15</c:v>
                      </c:pt>
                      <c:pt idx="4">
                        <c:v>20</c:v>
                      </c:pt>
                      <c:pt idx="5">
                        <c:v>25</c:v>
                      </c:pt>
                      <c:pt idx="6">
                        <c:v>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[2]Controls!$O$53:$O$59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22.582366545285545</c:v>
                      </c:pt>
                      <c:pt idx="1">
                        <c:v>22.710795935980013</c:v>
                      </c:pt>
                      <c:pt idx="2">
                        <c:v>22.713822734527923</c:v>
                      </c:pt>
                      <c:pt idx="3">
                        <c:v>22.74874733315766</c:v>
                      </c:pt>
                      <c:pt idx="4">
                        <c:v>22.711308163426573</c:v>
                      </c:pt>
                      <c:pt idx="5">
                        <c:v>22.708514195536196</c:v>
                      </c:pt>
                      <c:pt idx="6">
                        <c:v>22.706558418012932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15530840"/>
        <c:scaling>
          <c:orientation val="minMax"/>
          <c:max val="3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/>
                  <a:t>Time (sec)</a:t>
                </a:r>
              </a:p>
            </c:rich>
          </c:tx>
          <c:layout>
            <c:manualLayout>
              <c:xMode val="edge"/>
              <c:yMode val="edge"/>
              <c:x val="0.42096787786847745"/>
              <c:y val="0.9344456942882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31232"/>
        <c:crosses val="autoZero"/>
        <c:crossBetween val="midCat"/>
      </c:valAx>
      <c:valAx>
        <c:axId val="315531232"/>
        <c:scaling>
          <c:orientation val="minMax"/>
          <c:min val="2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 (</a:t>
                </a: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>
            <c:manualLayout>
              <c:xMode val="edge"/>
              <c:yMode val="edge"/>
              <c:x val="0"/>
              <c:y val="0.392875052203840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553084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15039423588871"/>
          <c:y val="9.7849811456494767E-2"/>
          <c:w val="0.48203865571849391"/>
          <c:h val="0.311523308721357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a)</a:t>
            </a:r>
          </a:p>
        </c:rich>
      </c:tx>
      <c:layout>
        <c:manualLayout>
          <c:xMode val="edge"/>
          <c:yMode val="edge"/>
          <c:x val="8.9963907416771758E-4"/>
          <c:y val="4.820662661069806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832602920047837"/>
          <c:y val="7.4023140400132914E-2"/>
          <c:w val="0.8122985009136855"/>
          <c:h val="0.77018421477803078"/>
        </c:manualLayout>
      </c:layout>
      <c:scatterChart>
        <c:scatterStyle val="lineMarker"/>
        <c:varyColors val="0"/>
        <c:ser>
          <c:idx val="3"/>
          <c:order val="0"/>
          <c:tx>
            <c:v>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9424364767859674"/>
                  <c:y val="-0.233714425652429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Soil!$O$5:$O$13</c:f>
                <c:numCache>
                  <c:formatCode>General</c:formatCode>
                  <c:ptCount val="9"/>
                  <c:pt idx="0">
                    <c:v>2.8211116387284709E-2</c:v>
                  </c:pt>
                  <c:pt idx="1">
                    <c:v>5.4179192016910876E-2</c:v>
                  </c:pt>
                  <c:pt idx="2">
                    <c:v>4.4418299557600356E-2</c:v>
                  </c:pt>
                  <c:pt idx="3">
                    <c:v>0.17295661381015945</c:v>
                  </c:pt>
                  <c:pt idx="4">
                    <c:v>0.30302807792058473</c:v>
                  </c:pt>
                  <c:pt idx="5">
                    <c:v>0.37707641719864232</c:v>
                  </c:pt>
                  <c:pt idx="6">
                    <c:v>3.2583119852617942E-2</c:v>
                  </c:pt>
                  <c:pt idx="7">
                    <c:v>0.21540208855059495</c:v>
                  </c:pt>
                </c:numCache>
              </c:numRef>
            </c:plus>
            <c:minus>
              <c:numRef>
                <c:f>Soil!$O$5:$O$13</c:f>
                <c:numCache>
                  <c:formatCode>General</c:formatCode>
                  <c:ptCount val="9"/>
                  <c:pt idx="0">
                    <c:v>2.8211116387284709E-2</c:v>
                  </c:pt>
                  <c:pt idx="1">
                    <c:v>5.4179192016910876E-2</c:v>
                  </c:pt>
                  <c:pt idx="2">
                    <c:v>4.4418299557600356E-2</c:v>
                  </c:pt>
                  <c:pt idx="3">
                    <c:v>0.17295661381015945</c:v>
                  </c:pt>
                  <c:pt idx="4">
                    <c:v>0.30302807792058473</c:v>
                  </c:pt>
                  <c:pt idx="5">
                    <c:v>0.37707641719864232</c:v>
                  </c:pt>
                  <c:pt idx="6">
                    <c:v>3.2583119852617942E-2</c:v>
                  </c:pt>
                  <c:pt idx="7">
                    <c:v>0.21540208855059495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Soil!$M$5:$M$13</c:f>
              <c:numCache>
                <c:formatCode>General</c:formatCode>
                <c:ptCount val="9"/>
                <c:pt idx="0">
                  <c:v>0</c:v>
                </c:pt>
                <c:pt idx="1">
                  <c:v>1.0500000000000001E-2</c:v>
                </c:pt>
                <c:pt idx="2">
                  <c:v>0.03</c:v>
                </c:pt>
                <c:pt idx="3">
                  <c:v>0.06</c:v>
                </c:pt>
                <c:pt idx="4">
                  <c:v>0.09</c:v>
                </c:pt>
                <c:pt idx="5">
                  <c:v>0.15</c:v>
                </c:pt>
                <c:pt idx="6">
                  <c:v>0.24</c:v>
                </c:pt>
                <c:pt idx="7">
                  <c:v>0.3</c:v>
                </c:pt>
              </c:numCache>
            </c:numRef>
          </c:xVal>
          <c:yVal>
            <c:numRef>
              <c:f>Soil!$N$5:$N$13</c:f>
              <c:numCache>
                <c:formatCode>General</c:formatCode>
                <c:ptCount val="9"/>
                <c:pt idx="0">
                  <c:v>1.1646008733333322</c:v>
                </c:pt>
                <c:pt idx="1">
                  <c:v>1.3383278151666669</c:v>
                </c:pt>
                <c:pt idx="2">
                  <c:v>1.7045073266666648</c:v>
                </c:pt>
                <c:pt idx="3">
                  <c:v>1.926483953333334</c:v>
                </c:pt>
                <c:pt idx="4">
                  <c:v>2.7486669200000002</c:v>
                </c:pt>
                <c:pt idx="5">
                  <c:v>3.5532438499999999</c:v>
                </c:pt>
                <c:pt idx="6">
                  <c:v>5.2023556849999988</c:v>
                </c:pt>
                <c:pt idx="7">
                  <c:v>6.2620373433333327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Soil!$B$4</c:f>
              <c:strCache>
                <c:ptCount val="1"/>
                <c:pt idx="0">
                  <c:v>MWCNT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384167957598572E-2"/>
                  <c:y val="-5.697344234409722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Soil!$D$5:$D$16</c:f>
                <c:numCache>
                  <c:formatCode>General</c:formatCode>
                  <c:ptCount val="12"/>
                  <c:pt idx="0">
                    <c:v>2.8211116387284709E-2</c:v>
                  </c:pt>
                  <c:pt idx="1">
                    <c:v>4.5709615344800461E-2</c:v>
                  </c:pt>
                  <c:pt idx="2">
                    <c:v>8.8040337533323521E-2</c:v>
                  </c:pt>
                  <c:pt idx="3">
                    <c:v>4.328868503223722E-2</c:v>
                  </c:pt>
                  <c:pt idx="4">
                    <c:v>3.3231438746039899E-2</c:v>
                  </c:pt>
                  <c:pt idx="5">
                    <c:v>0.20240318023887227</c:v>
                  </c:pt>
                  <c:pt idx="6">
                    <c:v>0.20749255585022489</c:v>
                  </c:pt>
                  <c:pt idx="7">
                    <c:v>0.19858808365391517</c:v>
                  </c:pt>
                  <c:pt idx="8">
                    <c:v>3.544414459997184E-2</c:v>
                  </c:pt>
                </c:numCache>
              </c:numRef>
            </c:plus>
            <c:minus>
              <c:numRef>
                <c:f>Soil!$D$5:$D$16</c:f>
                <c:numCache>
                  <c:formatCode>General</c:formatCode>
                  <c:ptCount val="12"/>
                  <c:pt idx="0">
                    <c:v>2.8211116387284709E-2</c:v>
                  </c:pt>
                  <c:pt idx="1">
                    <c:v>4.5709615344800461E-2</c:v>
                  </c:pt>
                  <c:pt idx="2">
                    <c:v>8.8040337533323521E-2</c:v>
                  </c:pt>
                  <c:pt idx="3">
                    <c:v>4.328868503223722E-2</c:v>
                  </c:pt>
                  <c:pt idx="4">
                    <c:v>3.3231438746039899E-2</c:v>
                  </c:pt>
                  <c:pt idx="5">
                    <c:v>0.20240318023887227</c:v>
                  </c:pt>
                  <c:pt idx="6">
                    <c:v>0.20749255585022489</c:v>
                  </c:pt>
                  <c:pt idx="7">
                    <c:v>0.19858808365391517</c:v>
                  </c:pt>
                  <c:pt idx="8">
                    <c:v>3.544414459997184E-2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0070C0"/>
                </a:solidFill>
                <a:round/>
              </a:ln>
              <a:effectLst/>
            </c:spPr>
          </c:errBars>
          <c:xVal>
            <c:numRef>
              <c:f>Soil!$B$5:$B$15</c:f>
              <c:numCache>
                <c:formatCode>General</c:formatCode>
                <c:ptCount val="11"/>
                <c:pt idx="0">
                  <c:v>0</c:v>
                </c:pt>
                <c:pt idx="1">
                  <c:v>8.9999999999999993E-3</c:v>
                </c:pt>
                <c:pt idx="2">
                  <c:v>2.8700000000000003E-2</c:v>
                </c:pt>
                <c:pt idx="3">
                  <c:v>4.2350000000000006E-2</c:v>
                </c:pt>
                <c:pt idx="4">
                  <c:v>5.5024875621890554E-2</c:v>
                </c:pt>
                <c:pt idx="5">
                  <c:v>9.4500000000000001E-2</c:v>
                </c:pt>
                <c:pt idx="6">
                  <c:v>0.1575</c:v>
                </c:pt>
                <c:pt idx="7">
                  <c:v>0.24</c:v>
                </c:pt>
                <c:pt idx="8">
                  <c:v>0.3</c:v>
                </c:pt>
              </c:numCache>
            </c:numRef>
          </c:xVal>
          <c:yVal>
            <c:numRef>
              <c:f>Soil!$C$5:$C$15</c:f>
              <c:numCache>
                <c:formatCode>General</c:formatCode>
                <c:ptCount val="11"/>
                <c:pt idx="0">
                  <c:v>1.1646008733333322</c:v>
                </c:pt>
                <c:pt idx="1">
                  <c:v>1.3760424833333342</c:v>
                </c:pt>
                <c:pt idx="2">
                  <c:v>1.7842278947966033</c:v>
                </c:pt>
                <c:pt idx="3">
                  <c:v>2.1961658813257565</c:v>
                </c:pt>
                <c:pt idx="4">
                  <c:v>2.3421982912985122</c:v>
                </c:pt>
                <c:pt idx="5">
                  <c:v>3.0830321899999986</c:v>
                </c:pt>
                <c:pt idx="6">
                  <c:v>5.3040962766666659</c:v>
                </c:pt>
                <c:pt idx="7">
                  <c:v>7.2983486830963029</c:v>
                </c:pt>
                <c:pt idx="8">
                  <c:v>9.7739618250000007</c:v>
                </c:pt>
              </c:numCache>
            </c:numRef>
          </c:yVal>
          <c:smooth val="0"/>
        </c:ser>
        <c:ser>
          <c:idx val="5"/>
          <c:order val="2"/>
          <c:tx>
            <c:v>MWCNT-COOH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158023442788306"/>
                  <c:y val="0.225670343036388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Soil!$Y$5:$Y$12</c:f>
                <c:numCache>
                  <c:formatCode>General</c:formatCode>
                  <c:ptCount val="8"/>
                  <c:pt idx="0">
                    <c:v>2.8211116387284709E-2</c:v>
                  </c:pt>
                  <c:pt idx="1">
                    <c:v>6.6300514369203201E-2</c:v>
                  </c:pt>
                  <c:pt idx="2">
                    <c:v>2.3488551924511453E-2</c:v>
                  </c:pt>
                  <c:pt idx="3">
                    <c:v>0.10417715376098202</c:v>
                  </c:pt>
                  <c:pt idx="4">
                    <c:v>9.1081001462259309E-2</c:v>
                  </c:pt>
                  <c:pt idx="5">
                    <c:v>6.5227318771511472E-2</c:v>
                  </c:pt>
                  <c:pt idx="6">
                    <c:v>0.17328756805414791</c:v>
                  </c:pt>
                  <c:pt idx="7">
                    <c:v>0.33212429761558443</c:v>
                  </c:pt>
                </c:numCache>
              </c:numRef>
            </c:plus>
            <c:minus>
              <c:numRef>
                <c:f>Soil!$Y$5:$Y$12</c:f>
                <c:numCache>
                  <c:formatCode>General</c:formatCode>
                  <c:ptCount val="8"/>
                  <c:pt idx="0">
                    <c:v>2.8211116387284709E-2</c:v>
                  </c:pt>
                  <c:pt idx="1">
                    <c:v>6.6300514369203201E-2</c:v>
                  </c:pt>
                  <c:pt idx="2">
                    <c:v>2.3488551924511453E-2</c:v>
                  </c:pt>
                  <c:pt idx="3">
                    <c:v>0.10417715376098202</c:v>
                  </c:pt>
                  <c:pt idx="4">
                    <c:v>9.1081001462259309E-2</c:v>
                  </c:pt>
                  <c:pt idx="5">
                    <c:v>6.5227318771511472E-2</c:v>
                  </c:pt>
                  <c:pt idx="6">
                    <c:v>0.17328756805414791</c:v>
                  </c:pt>
                  <c:pt idx="7">
                    <c:v>0.33212429761558443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Soil!$W$5:$W$12</c:f>
              <c:numCache>
                <c:formatCode>General</c:formatCode>
                <c:ptCount val="8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0.12</c:v>
                </c:pt>
                <c:pt idx="4">
                  <c:v>0.24</c:v>
                </c:pt>
                <c:pt idx="5">
                  <c:v>0.3</c:v>
                </c:pt>
                <c:pt idx="6">
                  <c:v>0.45</c:v>
                </c:pt>
                <c:pt idx="7">
                  <c:v>0.6</c:v>
                </c:pt>
              </c:numCache>
            </c:numRef>
          </c:xVal>
          <c:yVal>
            <c:numRef>
              <c:f>Soil!$X$5:$X$12</c:f>
              <c:numCache>
                <c:formatCode>General</c:formatCode>
                <c:ptCount val="8"/>
                <c:pt idx="0">
                  <c:v>1.1646008733333322</c:v>
                </c:pt>
                <c:pt idx="1">
                  <c:v>1.5354049536449328</c:v>
                </c:pt>
                <c:pt idx="2">
                  <c:v>1.7480896033333337</c:v>
                </c:pt>
                <c:pt idx="3">
                  <c:v>2.5045686000000003</c:v>
                </c:pt>
                <c:pt idx="4">
                  <c:v>3.2909188833333332</c:v>
                </c:pt>
                <c:pt idx="5">
                  <c:v>5.078164113333334</c:v>
                </c:pt>
                <c:pt idx="6">
                  <c:v>6.0131641133333327</c:v>
                </c:pt>
                <c:pt idx="7">
                  <c:v>8.4226227733333321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859184"/>
        <c:axId val="316859576"/>
        <c:extLst/>
      </c:scatterChart>
      <c:valAx>
        <c:axId val="316859184"/>
        <c:scaling>
          <c:orientation val="minMax"/>
          <c:max val="0.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CNTs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6859576"/>
        <c:crosses val="autoZero"/>
        <c:crossBetween val="midCat"/>
      </c:valAx>
      <c:valAx>
        <c:axId val="31685957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31685918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1070242748708403"/>
          <c:y val="0.65015158166204834"/>
          <c:w val="0.32167875260651707"/>
          <c:h val="0.17091343780047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b) </a:t>
            </a:r>
          </a:p>
        </c:rich>
      </c:tx>
      <c:layout>
        <c:manualLayout>
          <c:xMode val="edge"/>
          <c:yMode val="edge"/>
          <c:x val="1.4210284112039441E-3"/>
          <c:y val="3.28160199487259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832602920047837"/>
          <c:y val="7.4023140400132914E-2"/>
          <c:w val="0.8122985009136855"/>
          <c:h val="0.78668596303510852"/>
        </c:manualLayout>
      </c:layout>
      <c:scatterChart>
        <c:scatterStyle val="lineMarker"/>
        <c:varyColors val="0"/>
        <c:ser>
          <c:idx val="3"/>
          <c:order val="0"/>
          <c:tx>
            <c:v>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3849679340541148"/>
                  <c:y val="-0.201227514243646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Soil!$Q$5:$Q$13</c:f>
                <c:numCache>
                  <c:formatCode>General</c:formatCode>
                  <c:ptCount val="9"/>
                  <c:pt idx="0">
                    <c:v>1.8375351391190273E-2</c:v>
                  </c:pt>
                  <c:pt idx="1">
                    <c:v>0.13281886788870634</c:v>
                  </c:pt>
                  <c:pt idx="2">
                    <c:v>3.3670379052312932E-2</c:v>
                  </c:pt>
                  <c:pt idx="3">
                    <c:v>7.4160855697008782E-2</c:v>
                  </c:pt>
                  <c:pt idx="4">
                    <c:v>0.29413607021641597</c:v>
                  </c:pt>
                  <c:pt idx="5">
                    <c:v>0.16671867642491656</c:v>
                  </c:pt>
                  <c:pt idx="6">
                    <c:v>2.179212589948953E-2</c:v>
                  </c:pt>
                  <c:pt idx="7">
                    <c:v>0.35761123711796178</c:v>
                  </c:pt>
                </c:numCache>
              </c:numRef>
            </c:plus>
            <c:minus>
              <c:numRef>
                <c:f>Soil!$Q$5:$Q$13</c:f>
                <c:numCache>
                  <c:formatCode>General</c:formatCode>
                  <c:ptCount val="9"/>
                  <c:pt idx="0">
                    <c:v>1.8375351391190273E-2</c:v>
                  </c:pt>
                  <c:pt idx="1">
                    <c:v>0.13281886788870634</c:v>
                  </c:pt>
                  <c:pt idx="2">
                    <c:v>3.3670379052312932E-2</c:v>
                  </c:pt>
                  <c:pt idx="3">
                    <c:v>7.4160855697008782E-2</c:v>
                  </c:pt>
                  <c:pt idx="4">
                    <c:v>0.29413607021641597</c:v>
                  </c:pt>
                  <c:pt idx="5">
                    <c:v>0.16671867642491656</c:v>
                  </c:pt>
                  <c:pt idx="6">
                    <c:v>2.179212589948953E-2</c:v>
                  </c:pt>
                  <c:pt idx="7">
                    <c:v>0.35761123711796178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FFC000"/>
                </a:solidFill>
                <a:round/>
              </a:ln>
              <a:effectLst/>
            </c:spPr>
          </c:errBars>
          <c:xVal>
            <c:numRef>
              <c:f>Soil!$M$5:$M$13</c:f>
              <c:numCache>
                <c:formatCode>General</c:formatCode>
                <c:ptCount val="9"/>
                <c:pt idx="0">
                  <c:v>0</c:v>
                </c:pt>
                <c:pt idx="1">
                  <c:v>1.0500000000000001E-2</c:v>
                </c:pt>
                <c:pt idx="2">
                  <c:v>0.03</c:v>
                </c:pt>
                <c:pt idx="3">
                  <c:v>0.06</c:v>
                </c:pt>
                <c:pt idx="4">
                  <c:v>0.09</c:v>
                </c:pt>
                <c:pt idx="5">
                  <c:v>0.15</c:v>
                </c:pt>
                <c:pt idx="6">
                  <c:v>0.24</c:v>
                </c:pt>
                <c:pt idx="7">
                  <c:v>0.3</c:v>
                </c:pt>
              </c:numCache>
            </c:numRef>
          </c:xVal>
          <c:yVal>
            <c:numRef>
              <c:f>Soil!$P$5:$P$13</c:f>
              <c:numCache>
                <c:formatCode>General</c:formatCode>
                <c:ptCount val="9"/>
                <c:pt idx="0">
                  <c:v>1.3481736000000015</c:v>
                </c:pt>
                <c:pt idx="1">
                  <c:v>1.8158848466666673</c:v>
                </c:pt>
                <c:pt idx="2">
                  <c:v>2.089300293333332</c:v>
                </c:pt>
                <c:pt idx="3">
                  <c:v>2.359337529999999</c:v>
                </c:pt>
                <c:pt idx="4">
                  <c:v>2.8731583966666654</c:v>
                </c:pt>
                <c:pt idx="5">
                  <c:v>4.3082940566666652</c:v>
                </c:pt>
                <c:pt idx="6">
                  <c:v>5.8571079200000007</c:v>
                </c:pt>
                <c:pt idx="7">
                  <c:v>7.7025979699999993</c:v>
                </c:pt>
              </c:numCache>
            </c:numRef>
          </c:yVal>
          <c:smooth val="0"/>
        </c:ser>
        <c:ser>
          <c:idx val="4"/>
          <c:order val="1"/>
          <c:tx>
            <c:v>MWCNT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9594312943297996E-2"/>
                  <c:y val="-0.1059212110681286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Soil!$G$5:$G$15</c:f>
                <c:numCache>
                  <c:formatCode>General</c:formatCode>
                  <c:ptCount val="11"/>
                  <c:pt idx="0">
                    <c:v>1.8375351391190273E-2</c:v>
                  </c:pt>
                  <c:pt idx="1">
                    <c:v>2.7954135946819225E-2</c:v>
                  </c:pt>
                  <c:pt idx="2">
                    <c:v>6.8380330683211227E-2</c:v>
                  </c:pt>
                  <c:pt idx="3">
                    <c:v>8.0538576987052607E-2</c:v>
                  </c:pt>
                  <c:pt idx="4">
                    <c:v>7.9327774776546719E-2</c:v>
                  </c:pt>
                  <c:pt idx="5">
                    <c:v>0.19615210369547326</c:v>
                  </c:pt>
                  <c:pt idx="6">
                    <c:v>0.15545943307271295</c:v>
                  </c:pt>
                  <c:pt idx="7">
                    <c:v>2.82199415067819E-2</c:v>
                  </c:pt>
                  <c:pt idx="8">
                    <c:v>0.1114962799122127</c:v>
                  </c:pt>
                </c:numCache>
              </c:numRef>
            </c:plus>
            <c:minus>
              <c:numRef>
                <c:f>Soil!$G$5:$G$15</c:f>
                <c:numCache>
                  <c:formatCode>General</c:formatCode>
                  <c:ptCount val="11"/>
                  <c:pt idx="0">
                    <c:v>1.8375351391190273E-2</c:v>
                  </c:pt>
                  <c:pt idx="1">
                    <c:v>2.7954135946819225E-2</c:v>
                  </c:pt>
                  <c:pt idx="2">
                    <c:v>6.8380330683211227E-2</c:v>
                  </c:pt>
                  <c:pt idx="3">
                    <c:v>8.0538576987052607E-2</c:v>
                  </c:pt>
                  <c:pt idx="4">
                    <c:v>7.9327774776546719E-2</c:v>
                  </c:pt>
                  <c:pt idx="5">
                    <c:v>0.19615210369547326</c:v>
                  </c:pt>
                  <c:pt idx="6">
                    <c:v>0.15545943307271295</c:v>
                  </c:pt>
                  <c:pt idx="7">
                    <c:v>2.82199415067819E-2</c:v>
                  </c:pt>
                  <c:pt idx="8">
                    <c:v>0.1114962799122127</c:v>
                  </c:pt>
                </c:numCache>
              </c:numRef>
            </c:minus>
            <c:spPr>
              <a:noFill/>
              <a:ln w="12700" cap="flat" cmpd="sng" algn="ctr">
                <a:solidFill>
                  <a:srgbClr val="0070C0"/>
                </a:solidFill>
                <a:round/>
              </a:ln>
              <a:effectLst/>
            </c:spPr>
          </c:errBars>
          <c:xVal>
            <c:numRef>
              <c:f>Soil!$B$5:$B$16</c:f>
              <c:numCache>
                <c:formatCode>General</c:formatCode>
                <c:ptCount val="12"/>
                <c:pt idx="0">
                  <c:v>0</c:v>
                </c:pt>
                <c:pt idx="1">
                  <c:v>8.9999999999999993E-3</c:v>
                </c:pt>
                <c:pt idx="2">
                  <c:v>2.8700000000000003E-2</c:v>
                </c:pt>
                <c:pt idx="3">
                  <c:v>4.2350000000000006E-2</c:v>
                </c:pt>
                <c:pt idx="4">
                  <c:v>5.5024875621890554E-2</c:v>
                </c:pt>
                <c:pt idx="5">
                  <c:v>9.4500000000000001E-2</c:v>
                </c:pt>
                <c:pt idx="6">
                  <c:v>0.1575</c:v>
                </c:pt>
                <c:pt idx="7">
                  <c:v>0.24</c:v>
                </c:pt>
                <c:pt idx="8">
                  <c:v>0.3</c:v>
                </c:pt>
              </c:numCache>
            </c:numRef>
          </c:xVal>
          <c:yVal>
            <c:numRef>
              <c:f>Soil!$F$5:$F$16</c:f>
              <c:numCache>
                <c:formatCode>General</c:formatCode>
                <c:ptCount val="12"/>
                <c:pt idx="0">
                  <c:v>1.3481736000000015</c:v>
                </c:pt>
                <c:pt idx="1">
                  <c:v>1.5037726383333341</c:v>
                </c:pt>
                <c:pt idx="2">
                  <c:v>2.1689572733019062</c:v>
                </c:pt>
                <c:pt idx="3">
                  <c:v>2.8155374764722914</c:v>
                </c:pt>
                <c:pt idx="4">
                  <c:v>3.1598113790312716</c:v>
                </c:pt>
                <c:pt idx="5">
                  <c:v>3.7171156932499003</c:v>
                </c:pt>
                <c:pt idx="6">
                  <c:v>6.3744562533333324</c:v>
                </c:pt>
                <c:pt idx="7">
                  <c:v>8.3392659841406758</c:v>
                </c:pt>
                <c:pt idx="8">
                  <c:v>11.648603014397002</c:v>
                </c:pt>
              </c:numCache>
            </c:numRef>
          </c:yVal>
          <c:smooth val="0"/>
        </c:ser>
        <c:ser>
          <c:idx val="5"/>
          <c:order val="2"/>
          <c:tx>
            <c:v>MWCNT-COOH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910656810100574"/>
                  <c:y val="0.252886453217738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Soil!$AA$5:$AA$12</c:f>
                <c:numCache>
                  <c:formatCode>General</c:formatCode>
                  <c:ptCount val="8"/>
                  <c:pt idx="0">
                    <c:v>1.8375351391190273E-2</c:v>
                  </c:pt>
                  <c:pt idx="1">
                    <c:v>5.2212937050223077E-2</c:v>
                  </c:pt>
                  <c:pt idx="2">
                    <c:v>2.3851784918440755E-2</c:v>
                  </c:pt>
                  <c:pt idx="3">
                    <c:v>0.16232145427266512</c:v>
                  </c:pt>
                  <c:pt idx="4">
                    <c:v>0.18393156585553208</c:v>
                  </c:pt>
                  <c:pt idx="5">
                    <c:v>0.14649886533840939</c:v>
                  </c:pt>
                  <c:pt idx="6">
                    <c:v>0.2780178425438517</c:v>
                  </c:pt>
                  <c:pt idx="7">
                    <c:v>0.3060600173272443</c:v>
                  </c:pt>
                </c:numCache>
              </c:numRef>
            </c:plus>
            <c:minus>
              <c:numRef>
                <c:f>Soil!$AA$5:$AA$12</c:f>
                <c:numCache>
                  <c:formatCode>General</c:formatCode>
                  <c:ptCount val="8"/>
                  <c:pt idx="0">
                    <c:v>1.8375351391190273E-2</c:v>
                  </c:pt>
                  <c:pt idx="1">
                    <c:v>5.2212937050223077E-2</c:v>
                  </c:pt>
                  <c:pt idx="2">
                    <c:v>2.3851784918440755E-2</c:v>
                  </c:pt>
                  <c:pt idx="3">
                    <c:v>0.16232145427266512</c:v>
                  </c:pt>
                  <c:pt idx="4">
                    <c:v>0.18393156585553208</c:v>
                  </c:pt>
                  <c:pt idx="5">
                    <c:v>0.14649886533840939</c:v>
                  </c:pt>
                  <c:pt idx="6">
                    <c:v>0.2780178425438517</c:v>
                  </c:pt>
                  <c:pt idx="7">
                    <c:v>0.3060600173272443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Soil!$W$5:$W$12</c:f>
              <c:numCache>
                <c:formatCode>General</c:formatCode>
                <c:ptCount val="8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0.12</c:v>
                </c:pt>
                <c:pt idx="4">
                  <c:v>0.24</c:v>
                </c:pt>
                <c:pt idx="5">
                  <c:v>0.3</c:v>
                </c:pt>
                <c:pt idx="6">
                  <c:v>0.45</c:v>
                </c:pt>
                <c:pt idx="7">
                  <c:v>0.6</c:v>
                </c:pt>
              </c:numCache>
            </c:numRef>
          </c:xVal>
          <c:yVal>
            <c:numRef>
              <c:f>Soil!$Z$5:$Z$12</c:f>
              <c:numCache>
                <c:formatCode>General</c:formatCode>
                <c:ptCount val="8"/>
                <c:pt idx="0">
                  <c:v>1.3481736000000015</c:v>
                </c:pt>
                <c:pt idx="1">
                  <c:v>1.7570630290942357</c:v>
                </c:pt>
                <c:pt idx="2">
                  <c:v>2.3472033224991669</c:v>
                </c:pt>
                <c:pt idx="3">
                  <c:v>3.2793645066666657</c:v>
                </c:pt>
                <c:pt idx="4">
                  <c:v>4.0489555566666668</c:v>
                </c:pt>
                <c:pt idx="5">
                  <c:v>5.9452507433333333</c:v>
                </c:pt>
                <c:pt idx="6">
                  <c:v>7.2527528333333322</c:v>
                </c:pt>
                <c:pt idx="7">
                  <c:v>9.4104575866666682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529848"/>
        <c:axId val="248530240"/>
        <c:extLst/>
      </c:scatterChart>
      <c:valAx>
        <c:axId val="248529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CNT Mass (mg)</a:t>
                </a:r>
              </a:p>
            </c:rich>
          </c:tx>
          <c:layout>
            <c:manualLayout>
              <c:xMode val="edge"/>
              <c:yMode val="edge"/>
              <c:x val="0.415128390201224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30240"/>
        <c:crosses val="autoZero"/>
        <c:crossBetween val="midCat"/>
      </c:valAx>
      <c:valAx>
        <c:axId val="24853024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∆T(°C)</a:t>
                </a:r>
              </a:p>
              <a:p>
                <a:pPr algn="ctr" rtl="0">
                  <a:defRPr/>
                </a:pP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2984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8209250028761702"/>
          <c:y val="0.7003061355135487"/>
          <c:w val="0.511362207399916"/>
          <c:h val="0.1676131946921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000"/>
              <a:t>b)</a:t>
            </a:r>
            <a:endParaRPr lang="zh-CN" altLang="en-US" sz="1000"/>
          </a:p>
        </c:rich>
      </c:tx>
      <c:layout>
        <c:manualLayout>
          <c:xMode val="edge"/>
          <c:yMode val="edge"/>
          <c:x val="2.3173231021963417E-3"/>
          <c:y val="4.230797369840964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022258876661824"/>
          <c:y val="7.8477995128657704E-2"/>
          <c:w val="0.8093945730025337"/>
          <c:h val="0.78389286705015526"/>
        </c:manualLayout>
      </c:layout>
      <c:scatterChart>
        <c:scatterStyle val="lineMarker"/>
        <c:varyColors val="0"/>
        <c:ser>
          <c:idx val="0"/>
          <c:order val="0"/>
          <c:tx>
            <c:v>100 mg Soil-MWCNT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040638061395407"/>
                  <c:y val="8.167979002624671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Soil!$G$5:$G$15</c:f>
                <c:numCache>
                  <c:formatCode>General</c:formatCode>
                  <c:ptCount val="11"/>
                  <c:pt idx="0">
                    <c:v>1.8375351391190273E-2</c:v>
                  </c:pt>
                  <c:pt idx="1">
                    <c:v>2.7954135946819225E-2</c:v>
                  </c:pt>
                  <c:pt idx="2">
                    <c:v>6.8380330683211227E-2</c:v>
                  </c:pt>
                  <c:pt idx="3">
                    <c:v>8.0538576987052607E-2</c:v>
                  </c:pt>
                  <c:pt idx="4">
                    <c:v>7.9327774776546719E-2</c:v>
                  </c:pt>
                  <c:pt idx="5">
                    <c:v>0.19615210369547326</c:v>
                  </c:pt>
                  <c:pt idx="6">
                    <c:v>0.15545943307271295</c:v>
                  </c:pt>
                  <c:pt idx="7">
                    <c:v>2.82199415067819E-2</c:v>
                  </c:pt>
                  <c:pt idx="8">
                    <c:v>0.1114962799122127</c:v>
                  </c:pt>
                </c:numCache>
              </c:numRef>
            </c:plus>
            <c:minus>
              <c:numRef>
                <c:f>Soil!$G$5:$G$15</c:f>
                <c:numCache>
                  <c:formatCode>General</c:formatCode>
                  <c:ptCount val="11"/>
                  <c:pt idx="0">
                    <c:v>1.8375351391190273E-2</c:v>
                  </c:pt>
                  <c:pt idx="1">
                    <c:v>2.7954135946819225E-2</c:v>
                  </c:pt>
                  <c:pt idx="2">
                    <c:v>6.8380330683211227E-2</c:v>
                  </c:pt>
                  <c:pt idx="3">
                    <c:v>8.0538576987052607E-2</c:v>
                  </c:pt>
                  <c:pt idx="4">
                    <c:v>7.9327774776546719E-2</c:v>
                  </c:pt>
                  <c:pt idx="5">
                    <c:v>0.19615210369547326</c:v>
                  </c:pt>
                  <c:pt idx="6">
                    <c:v>0.15545943307271295</c:v>
                  </c:pt>
                  <c:pt idx="7">
                    <c:v>2.82199415067819E-2</c:v>
                  </c:pt>
                  <c:pt idx="8">
                    <c:v>0.1114962799122127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[1]Mass!$E$56:$E$66</c:f>
              <c:numCache>
                <c:formatCode>General</c:formatCode>
                <c:ptCount val="11"/>
                <c:pt idx="0">
                  <c:v>0</c:v>
                </c:pt>
                <c:pt idx="1">
                  <c:v>8.9999999999999993E-3</c:v>
                </c:pt>
                <c:pt idx="2">
                  <c:v>2.8700000000000003E-2</c:v>
                </c:pt>
                <c:pt idx="3">
                  <c:v>4.2350000000000006E-2</c:v>
                </c:pt>
                <c:pt idx="4">
                  <c:v>5.5024875621890554E-2</c:v>
                </c:pt>
                <c:pt idx="5">
                  <c:v>6.8950000000000011E-2</c:v>
                </c:pt>
                <c:pt idx="6">
                  <c:v>9.4500000000000001E-2</c:v>
                </c:pt>
                <c:pt idx="7">
                  <c:v>0.1575</c:v>
                </c:pt>
                <c:pt idx="8">
                  <c:v>0.252</c:v>
                </c:pt>
                <c:pt idx="9">
                  <c:v>0.24</c:v>
                </c:pt>
                <c:pt idx="10">
                  <c:v>0.3</c:v>
                </c:pt>
              </c:numCache>
            </c:numRef>
          </c:xVal>
          <c:yVal>
            <c:numRef>
              <c:f>[1]Mass!$F$56:$F$66</c:f>
              <c:numCache>
                <c:formatCode>General</c:formatCode>
                <c:ptCount val="11"/>
                <c:pt idx="0">
                  <c:v>1.346733</c:v>
                </c:pt>
                <c:pt idx="1">
                  <c:v>1.501973349933948</c:v>
                </c:pt>
                <c:pt idx="2">
                  <c:v>2.1689572733019062</c:v>
                </c:pt>
                <c:pt idx="3">
                  <c:v>2.5521958597169974</c:v>
                </c:pt>
                <c:pt idx="4">
                  <c:v>2.9010495749029461</c:v>
                </c:pt>
                <c:pt idx="5">
                  <c:v>3.2101067674293811</c:v>
                </c:pt>
                <c:pt idx="6">
                  <c:v>3.8376194285714256</c:v>
                </c:pt>
                <c:pt idx="7">
                  <c:v>6.4598465047638811</c:v>
                </c:pt>
                <c:pt idx="8">
                  <c:v>9.4272762267992505</c:v>
                </c:pt>
                <c:pt idx="9">
                  <c:v>8.3698891</c:v>
                </c:pt>
                <c:pt idx="10">
                  <c:v>11.66295</c:v>
                </c:pt>
              </c:numCache>
            </c:numRef>
          </c:yVal>
          <c:smooth val="0"/>
        </c:ser>
        <c:ser>
          <c:idx val="1"/>
          <c:order val="1"/>
          <c:tx>
            <c:v>45 mg Soil-MWCNT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652415581079887"/>
                  <c:y val="0.325198298383433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Soil!$D$70:$D$75</c:f>
                <c:numCache>
                  <c:formatCode>General</c:formatCode>
                  <c:ptCount val="6"/>
                  <c:pt idx="0">
                    <c:v>8.9741500000000002E-2</c:v>
                  </c:pt>
                  <c:pt idx="1">
                    <c:v>4.0171231213964485E-3</c:v>
                  </c:pt>
                  <c:pt idx="2">
                    <c:v>0.10734276211102377</c:v>
                  </c:pt>
                  <c:pt idx="3">
                    <c:v>0.26010246578747259</c:v>
                  </c:pt>
                  <c:pt idx="4">
                    <c:v>0.18630838538832506</c:v>
                  </c:pt>
                  <c:pt idx="5">
                    <c:v>4.3200526162032737E-2</c:v>
                  </c:pt>
                </c:numCache>
              </c:numRef>
            </c:plus>
            <c:minus>
              <c:numRef>
                <c:f>Soil!$D$70:$D$75</c:f>
                <c:numCache>
                  <c:formatCode>General</c:formatCode>
                  <c:ptCount val="6"/>
                  <c:pt idx="0">
                    <c:v>8.9741500000000002E-2</c:v>
                  </c:pt>
                  <c:pt idx="1">
                    <c:v>4.0171231213964485E-3</c:v>
                  </c:pt>
                  <c:pt idx="2">
                    <c:v>0.10734276211102377</c:v>
                  </c:pt>
                  <c:pt idx="3">
                    <c:v>0.26010246578747259</c:v>
                  </c:pt>
                  <c:pt idx="4">
                    <c:v>0.18630838538832506</c:v>
                  </c:pt>
                  <c:pt idx="5">
                    <c:v>4.3200526162032737E-2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[1]Mass!$G$56:$G$61</c:f>
              <c:numCache>
                <c:formatCode>General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  <c:pt idx="5">
                  <c:v>1.4999999999999999E-2</c:v>
                </c:pt>
              </c:numCache>
            </c:numRef>
          </c:xVal>
          <c:yVal>
            <c:numRef>
              <c:f>[1]Mass!$H$56:$H$61</c:f>
              <c:numCache>
                <c:formatCode>General</c:formatCode>
                <c:ptCount val="6"/>
                <c:pt idx="0">
                  <c:v>0.33</c:v>
                </c:pt>
                <c:pt idx="1">
                  <c:v>0.96093342518433011</c:v>
                </c:pt>
                <c:pt idx="2">
                  <c:v>3.0699526249999982</c:v>
                </c:pt>
                <c:pt idx="3">
                  <c:v>4.7134598773616645</c:v>
                </c:pt>
                <c:pt idx="4">
                  <c:v>8.7091135512552302</c:v>
                </c:pt>
                <c:pt idx="5">
                  <c:v>0.79611371499999928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531024"/>
        <c:axId val="248531416"/>
        <c:extLst/>
      </c:scatterChart>
      <c:valAx>
        <c:axId val="24853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0333442694663163"/>
              <c:y val="0.93031585337547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31416"/>
        <c:crosses val="autoZero"/>
        <c:crossBetween val="midCat"/>
      </c:valAx>
      <c:valAx>
        <c:axId val="2485314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/>
                  <a:t>Δ</a:t>
                </a:r>
                <a:r>
                  <a:rPr lang="en-US"/>
                  <a:t>T (℃)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31024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509918163714791"/>
          <c:y val="8.465963031216843E-2"/>
          <c:w val="0.4546096971059046"/>
          <c:h val="0.16269894834574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000"/>
              <a:t>a)</a:t>
            </a:r>
            <a:endParaRPr lang="zh-CN" altLang="en-US" sz="1000"/>
          </a:p>
        </c:rich>
      </c:tx>
      <c:layout>
        <c:manualLayout>
          <c:xMode val="edge"/>
          <c:yMode val="edge"/>
          <c:x val="2.1360466670888702E-3"/>
          <c:y val="4.342063625025594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748052368205465"/>
          <c:y val="6.8799166061689093E-2"/>
          <c:w val="0.82213670166229225"/>
          <c:h val="0.79357160142216243"/>
        </c:manualLayout>
      </c:layout>
      <c:scatterChart>
        <c:scatterStyle val="lineMarker"/>
        <c:varyColors val="0"/>
        <c:ser>
          <c:idx val="0"/>
          <c:order val="0"/>
          <c:tx>
            <c:v>100mgSoil-SWCNT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040638061395407"/>
                  <c:y val="8.167979002624671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Soil!$Q$5:$Q$13</c:f>
                <c:numCache>
                  <c:formatCode>General</c:formatCode>
                  <c:ptCount val="9"/>
                  <c:pt idx="0">
                    <c:v>1.8375351391190273E-2</c:v>
                  </c:pt>
                  <c:pt idx="1">
                    <c:v>0.13281886788870634</c:v>
                  </c:pt>
                  <c:pt idx="2">
                    <c:v>3.3670379052312932E-2</c:v>
                  </c:pt>
                  <c:pt idx="3">
                    <c:v>7.4160855697008782E-2</c:v>
                  </c:pt>
                  <c:pt idx="4">
                    <c:v>0.29413607021641597</c:v>
                  </c:pt>
                  <c:pt idx="5">
                    <c:v>0.16671867642491656</c:v>
                  </c:pt>
                  <c:pt idx="6">
                    <c:v>2.179212589948953E-2</c:v>
                  </c:pt>
                  <c:pt idx="7">
                    <c:v>0.35761123711796178</c:v>
                  </c:pt>
                </c:numCache>
              </c:numRef>
            </c:plus>
            <c:minus>
              <c:numRef>
                <c:f>Soil!$Q$5:$Q$13</c:f>
                <c:numCache>
                  <c:formatCode>General</c:formatCode>
                  <c:ptCount val="9"/>
                  <c:pt idx="0">
                    <c:v>1.8375351391190273E-2</c:v>
                  </c:pt>
                  <c:pt idx="1">
                    <c:v>0.13281886788870634</c:v>
                  </c:pt>
                  <c:pt idx="2">
                    <c:v>3.3670379052312932E-2</c:v>
                  </c:pt>
                  <c:pt idx="3">
                    <c:v>7.4160855697008782E-2</c:v>
                  </c:pt>
                  <c:pt idx="4">
                    <c:v>0.29413607021641597</c:v>
                  </c:pt>
                  <c:pt idx="5">
                    <c:v>0.16671867642491656</c:v>
                  </c:pt>
                  <c:pt idx="6">
                    <c:v>2.179212589948953E-2</c:v>
                  </c:pt>
                  <c:pt idx="7">
                    <c:v>0.35761123711796178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[1]Mass!$T$5:$T$12</c:f>
              <c:numCache>
                <c:formatCode>General</c:formatCode>
                <c:ptCount val="8"/>
                <c:pt idx="0">
                  <c:v>0</c:v>
                </c:pt>
                <c:pt idx="1">
                  <c:v>1.0500000000000001E-2</c:v>
                </c:pt>
                <c:pt idx="2">
                  <c:v>0.03</c:v>
                </c:pt>
                <c:pt idx="3">
                  <c:v>0.06</c:v>
                </c:pt>
                <c:pt idx="4">
                  <c:v>0.09</c:v>
                </c:pt>
                <c:pt idx="5">
                  <c:v>0.15</c:v>
                </c:pt>
                <c:pt idx="6">
                  <c:v>0.24</c:v>
                </c:pt>
                <c:pt idx="7">
                  <c:v>0.3</c:v>
                </c:pt>
              </c:numCache>
            </c:numRef>
          </c:xVal>
          <c:yVal>
            <c:numRef>
              <c:f>[1]Mass!$U$5:$U$12</c:f>
              <c:numCache>
                <c:formatCode>General</c:formatCode>
                <c:ptCount val="8"/>
                <c:pt idx="0">
                  <c:v>1.346733</c:v>
                </c:pt>
                <c:pt idx="1">
                  <c:v>1.6964854824435029</c:v>
                </c:pt>
                <c:pt idx="2">
                  <c:v>2.0460879999999997</c:v>
                </c:pt>
                <c:pt idx="3">
                  <c:v>2.5557535233333337</c:v>
                </c:pt>
                <c:pt idx="4">
                  <c:v>2.9578083533333319</c:v>
                </c:pt>
                <c:pt idx="5">
                  <c:v>4.295951043333333</c:v>
                </c:pt>
                <c:pt idx="6">
                  <c:v>5.7997187033333333</c:v>
                </c:pt>
                <c:pt idx="7">
                  <c:v>7.7103134466666683</c:v>
                </c:pt>
              </c:numCache>
            </c:numRef>
          </c:yVal>
          <c:smooth val="0"/>
        </c:ser>
        <c:ser>
          <c:idx val="1"/>
          <c:order val="1"/>
          <c:tx>
            <c:v>45mgSoil-SWCNT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832210987031447E-3"/>
                  <c:y val="0.436377952755905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Soil!$F$52:$F$57</c:f>
                <c:numCache>
                  <c:formatCode>General</c:formatCode>
                  <c:ptCount val="6"/>
                  <c:pt idx="0">
                    <c:v>8.9784000000000003E-2</c:v>
                  </c:pt>
                  <c:pt idx="1">
                    <c:v>0.12584000000000001</c:v>
                  </c:pt>
                  <c:pt idx="2">
                    <c:v>0.13958699999999999</c:v>
                  </c:pt>
                  <c:pt idx="3">
                    <c:v>0.112874</c:v>
                  </c:pt>
                  <c:pt idx="4">
                    <c:v>0.159354</c:v>
                  </c:pt>
                  <c:pt idx="5">
                    <c:v>0.102578</c:v>
                  </c:pt>
                </c:numCache>
              </c:numRef>
            </c:plus>
            <c:minus>
              <c:numRef>
                <c:f>Soil!$F$52:$F$57</c:f>
                <c:numCache>
                  <c:formatCode>General</c:formatCode>
                  <c:ptCount val="6"/>
                  <c:pt idx="0">
                    <c:v>8.9784000000000003E-2</c:v>
                  </c:pt>
                  <c:pt idx="1">
                    <c:v>0.12584000000000001</c:v>
                  </c:pt>
                  <c:pt idx="2">
                    <c:v>0.13958699999999999</c:v>
                  </c:pt>
                  <c:pt idx="3">
                    <c:v>0.112874</c:v>
                  </c:pt>
                  <c:pt idx="4">
                    <c:v>0.159354</c:v>
                  </c:pt>
                  <c:pt idx="5">
                    <c:v>0.102578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[1]Mass!$P$5:$P$10</c:f>
              <c:numCache>
                <c:formatCode>General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0.09</c:v>
                </c:pt>
                <c:pt idx="3">
                  <c:v>0.15</c:v>
                </c:pt>
                <c:pt idx="4">
                  <c:v>0.24</c:v>
                </c:pt>
                <c:pt idx="5">
                  <c:v>0.3</c:v>
                </c:pt>
              </c:numCache>
            </c:numRef>
          </c:xVal>
          <c:yVal>
            <c:numRef>
              <c:f>[1]Mass!$R$5:$R$10</c:f>
              <c:numCache>
                <c:formatCode>General</c:formatCode>
                <c:ptCount val="6"/>
                <c:pt idx="0">
                  <c:v>0.35499999999999998</c:v>
                </c:pt>
                <c:pt idx="1">
                  <c:v>1.4749272480000009</c:v>
                </c:pt>
                <c:pt idx="2">
                  <c:v>2.2821129400000033</c:v>
                </c:pt>
                <c:pt idx="3">
                  <c:v>3.4723393000000016</c:v>
                </c:pt>
                <c:pt idx="4">
                  <c:v>5.2010115150000011</c:v>
                </c:pt>
                <c:pt idx="5">
                  <c:v>6.949722111999999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532592"/>
        <c:axId val="250380192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6.8955267990964936E-2"/>
                        <c:y val="0.39928594032128961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zh-CN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[1]Mass!$P$5:$P$10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0.03</c:v>
                      </c:pt>
                      <c:pt idx="2">
                        <c:v>0.09</c:v>
                      </c:pt>
                      <c:pt idx="3">
                        <c:v>0.15</c:v>
                      </c:pt>
                      <c:pt idx="4">
                        <c:v>0.24</c:v>
                      </c:pt>
                      <c:pt idx="5">
                        <c:v>0.3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[1]Mass!$S$5:$S$10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1.1199272480000009</c:v>
                      </c:pt>
                      <c:pt idx="2">
                        <c:v>1.9271129400000033</c:v>
                      </c:pt>
                      <c:pt idx="3">
                        <c:v>3.1173393000000016</c:v>
                      </c:pt>
                      <c:pt idx="4">
                        <c:v>4.8460115150000007</c:v>
                      </c:pt>
                      <c:pt idx="5">
                        <c:v>6.5947221119999995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4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23338610823781075"/>
                        <c:y val="0.17291897023510358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zh-CN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[1]Mass!$T$5:$T$12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1.0500000000000001E-2</c:v>
                      </c:pt>
                      <c:pt idx="2">
                        <c:v>0.03</c:v>
                      </c:pt>
                      <c:pt idx="3">
                        <c:v>0.06</c:v>
                      </c:pt>
                      <c:pt idx="4">
                        <c:v>0.09</c:v>
                      </c:pt>
                      <c:pt idx="5">
                        <c:v>0.15</c:v>
                      </c:pt>
                      <c:pt idx="6">
                        <c:v>0.24</c:v>
                      </c:pt>
                      <c:pt idx="7">
                        <c:v>0.3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[1]Mass!$V$5:$V$12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0.34975248244350299</c:v>
                      </c:pt>
                      <c:pt idx="2">
                        <c:v>0.69935499999999973</c:v>
                      </c:pt>
                      <c:pt idx="3">
                        <c:v>1.2090205233333338</c:v>
                      </c:pt>
                      <c:pt idx="4">
                        <c:v>1.611075353333332</c:v>
                      </c:pt>
                      <c:pt idx="5">
                        <c:v>2.949218043333333</c:v>
                      </c:pt>
                      <c:pt idx="6">
                        <c:v>4.4529857033333329</c:v>
                      </c:pt>
                      <c:pt idx="7">
                        <c:v>6.3635804466666688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48532592"/>
        <c:scaling>
          <c:orientation val="minMax"/>
          <c:max val="0.3500000000000000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SWCNT Mass (mg)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0333442694663163"/>
              <c:y val="0.93031585337547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380192"/>
        <c:crosses val="autoZero"/>
        <c:crossBetween val="midCat"/>
      </c:valAx>
      <c:valAx>
        <c:axId val="2503801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/>
                  <a:t>Δ</a:t>
                </a:r>
                <a:r>
                  <a:rPr lang="en-US"/>
                  <a:t>T (℃)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3259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509918163714791"/>
          <c:y val="8.465963031216843E-2"/>
          <c:w val="0.40580664682330264"/>
          <c:h val="0.14593548146907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sz="1000"/>
              <a:t>b)</a:t>
            </a:r>
            <a:endParaRPr lang="zh-CN" altLang="en-US" sz="1000"/>
          </a:p>
        </c:rich>
      </c:tx>
      <c:layout>
        <c:manualLayout>
          <c:xMode val="edge"/>
          <c:yMode val="edge"/>
          <c:x val="0.4525381047051027"/>
          <c:y val="9.070294784580499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748052368205465"/>
          <c:y val="6.8799166061689093E-2"/>
          <c:w val="0.82213670166229225"/>
          <c:h val="0.79357160142216243"/>
        </c:manualLayout>
      </c:layout>
      <c:scatterChart>
        <c:scatterStyle val="lineMarker"/>
        <c:varyColors val="0"/>
        <c:ser>
          <c:idx val="0"/>
          <c:order val="0"/>
          <c:tx>
            <c:v>100mgSoil-MWCNT-COOH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110081414085974"/>
                  <c:y val="0.226779471714971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Soil!$AA$5:$AA$12</c:f>
                <c:numCache>
                  <c:formatCode>General</c:formatCode>
                  <c:ptCount val="8"/>
                  <c:pt idx="0">
                    <c:v>1.8375351391190273E-2</c:v>
                  </c:pt>
                  <c:pt idx="1">
                    <c:v>5.2212937050223077E-2</c:v>
                  </c:pt>
                  <c:pt idx="2">
                    <c:v>2.3851784918440755E-2</c:v>
                  </c:pt>
                  <c:pt idx="3">
                    <c:v>0.16232145427266512</c:v>
                  </c:pt>
                  <c:pt idx="4">
                    <c:v>0.18393156585553208</c:v>
                  </c:pt>
                  <c:pt idx="5">
                    <c:v>0.14649886533840939</c:v>
                  </c:pt>
                  <c:pt idx="6">
                    <c:v>0.2780178425438517</c:v>
                  </c:pt>
                  <c:pt idx="7">
                    <c:v>0.3060600173272443</c:v>
                  </c:pt>
                </c:numCache>
              </c:numRef>
            </c:plus>
            <c:minus>
              <c:numRef>
                <c:f>Soil!$AA$5:$AA$12</c:f>
                <c:numCache>
                  <c:formatCode>General</c:formatCode>
                  <c:ptCount val="8"/>
                  <c:pt idx="0">
                    <c:v>1.8375351391190273E-2</c:v>
                  </c:pt>
                  <c:pt idx="1">
                    <c:v>5.2212937050223077E-2</c:v>
                  </c:pt>
                  <c:pt idx="2">
                    <c:v>2.3851784918440755E-2</c:v>
                  </c:pt>
                  <c:pt idx="3">
                    <c:v>0.16232145427266512</c:v>
                  </c:pt>
                  <c:pt idx="4">
                    <c:v>0.18393156585553208</c:v>
                  </c:pt>
                  <c:pt idx="5">
                    <c:v>0.14649886533840939</c:v>
                  </c:pt>
                  <c:pt idx="6">
                    <c:v>0.2780178425438517</c:v>
                  </c:pt>
                  <c:pt idx="7">
                    <c:v>0.3060600173272443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errBars>
          <c:xVal>
            <c:numRef>
              <c:f>[1]Mass!$AD$5:$AD$12</c:f>
              <c:numCache>
                <c:formatCode>General</c:formatCode>
                <c:ptCount val="8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0.12</c:v>
                </c:pt>
                <c:pt idx="4">
                  <c:v>0.24</c:v>
                </c:pt>
                <c:pt idx="5">
                  <c:v>0.3</c:v>
                </c:pt>
                <c:pt idx="6">
                  <c:v>0.45</c:v>
                </c:pt>
                <c:pt idx="7">
                  <c:v>0.6</c:v>
                </c:pt>
              </c:numCache>
            </c:numRef>
          </c:xVal>
          <c:yVal>
            <c:numRef>
              <c:f>[1]Mass!$AE$5:$AE$12</c:f>
              <c:numCache>
                <c:formatCode>General</c:formatCode>
                <c:ptCount val="8"/>
                <c:pt idx="0">
                  <c:v>1.346733</c:v>
                </c:pt>
                <c:pt idx="1">
                  <c:v>1.70426371</c:v>
                </c:pt>
                <c:pt idx="2">
                  <c:v>2.3652241982705022</c:v>
                </c:pt>
                <c:pt idx="3">
                  <c:v>3.1940193854000003</c:v>
                </c:pt>
                <c:pt idx="4">
                  <c:v>4.1701295566666658</c:v>
                </c:pt>
                <c:pt idx="5">
                  <c:v>5.8683244533333339</c:v>
                </c:pt>
                <c:pt idx="6">
                  <c:v>7.6495069190000002</c:v>
                </c:pt>
                <c:pt idx="7">
                  <c:v>9.5363632700000025</c:v>
                </c:pt>
              </c:numCache>
            </c:numRef>
          </c:yVal>
          <c:smooth val="0"/>
        </c:ser>
        <c:ser>
          <c:idx val="1"/>
          <c:order val="1"/>
          <c:tx>
            <c:v>45mgSoil-MWCNT-COOH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4739214568688297"/>
                  <c:y val="0.427373652761489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Soil!$F$62:$F$67</c:f>
                <c:numCache>
                  <c:formatCode>General</c:formatCode>
                  <c:ptCount val="6"/>
                  <c:pt idx="0">
                    <c:v>8.9741500000000002E-2</c:v>
                  </c:pt>
                  <c:pt idx="1">
                    <c:v>0.18974150000000001</c:v>
                  </c:pt>
                  <c:pt idx="2">
                    <c:v>0.15873999999999999</c:v>
                  </c:pt>
                  <c:pt idx="3">
                    <c:v>0.16985639999999999</c:v>
                  </c:pt>
                  <c:pt idx="4">
                    <c:v>0.26849099999999998</c:v>
                  </c:pt>
                  <c:pt idx="5">
                    <c:v>0.27985460000000001</c:v>
                  </c:pt>
                </c:numCache>
              </c:numRef>
            </c:plus>
            <c:minus>
              <c:numRef>
                <c:f>Soil!$F$62:$F$67</c:f>
                <c:numCache>
                  <c:formatCode>General</c:formatCode>
                  <c:ptCount val="6"/>
                  <c:pt idx="0">
                    <c:v>8.9741500000000002E-2</c:v>
                  </c:pt>
                  <c:pt idx="1">
                    <c:v>0.18974150000000001</c:v>
                  </c:pt>
                  <c:pt idx="2">
                    <c:v>0.15873999999999999</c:v>
                  </c:pt>
                  <c:pt idx="3">
                    <c:v>0.16985639999999999</c:v>
                  </c:pt>
                  <c:pt idx="4">
                    <c:v>0.26849099999999998</c:v>
                  </c:pt>
                  <c:pt idx="5">
                    <c:v>0.27985460000000001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[1]Mass!$Z$5:$Z$10</c:f>
              <c:numCache>
                <c:formatCode>General</c:formatCode>
                <c:ptCount val="6"/>
                <c:pt idx="0">
                  <c:v>0</c:v>
                </c:pt>
                <c:pt idx="1">
                  <c:v>0.09</c:v>
                </c:pt>
                <c:pt idx="2">
                  <c:v>0.24</c:v>
                </c:pt>
                <c:pt idx="3">
                  <c:v>0.39</c:v>
                </c:pt>
                <c:pt idx="4">
                  <c:v>0.54</c:v>
                </c:pt>
                <c:pt idx="5">
                  <c:v>0.6</c:v>
                </c:pt>
              </c:numCache>
            </c:numRef>
          </c:xVal>
          <c:yVal>
            <c:numRef>
              <c:f>[1]Mass!$AB$5:$AB$10</c:f>
              <c:numCache>
                <c:formatCode>General</c:formatCode>
                <c:ptCount val="6"/>
                <c:pt idx="0">
                  <c:v>0.35</c:v>
                </c:pt>
                <c:pt idx="1">
                  <c:v>1.3817847360000008</c:v>
                </c:pt>
                <c:pt idx="2">
                  <c:v>3.2657572919999986</c:v>
                </c:pt>
                <c:pt idx="3">
                  <c:v>5.3780210000000004</c:v>
                </c:pt>
                <c:pt idx="4">
                  <c:v>6.9949019999999997</c:v>
                </c:pt>
                <c:pt idx="5">
                  <c:v>8.6756919999999997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380976"/>
        <c:axId val="250381368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6.8955267990964936E-2"/>
                        <c:y val="0.39928594032128961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zh-CN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[1]Mass!$P$5:$P$10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0.03</c:v>
                      </c:pt>
                      <c:pt idx="2">
                        <c:v>0.09</c:v>
                      </c:pt>
                      <c:pt idx="3">
                        <c:v>0.15</c:v>
                      </c:pt>
                      <c:pt idx="4">
                        <c:v>0.24</c:v>
                      </c:pt>
                      <c:pt idx="5">
                        <c:v>0.3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[1]Mass!$S$5:$S$10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1.1199272480000009</c:v>
                      </c:pt>
                      <c:pt idx="2">
                        <c:v>1.9271129400000033</c:v>
                      </c:pt>
                      <c:pt idx="3">
                        <c:v>3.1173393000000016</c:v>
                      </c:pt>
                      <c:pt idx="4">
                        <c:v>4.8460115150000007</c:v>
                      </c:pt>
                      <c:pt idx="5">
                        <c:v>6.5947221119999995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3"/>
                <c:order val="3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4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0.23338610823781075"/>
                        <c:y val="0.17291897023510358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zh-CN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[1]Mass!$T$5:$T$12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1.0500000000000001E-2</c:v>
                      </c:pt>
                      <c:pt idx="2">
                        <c:v>0.03</c:v>
                      </c:pt>
                      <c:pt idx="3">
                        <c:v>0.06</c:v>
                      </c:pt>
                      <c:pt idx="4">
                        <c:v>0.09</c:v>
                      </c:pt>
                      <c:pt idx="5">
                        <c:v>0.15</c:v>
                      </c:pt>
                      <c:pt idx="6">
                        <c:v>0.24</c:v>
                      </c:pt>
                      <c:pt idx="7">
                        <c:v>0.3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[1]Mass!$V$5:$V$12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0.34975248244350299</c:v>
                      </c:pt>
                      <c:pt idx="2">
                        <c:v>0.69935499999999973</c:v>
                      </c:pt>
                      <c:pt idx="3">
                        <c:v>1.2090205233333338</c:v>
                      </c:pt>
                      <c:pt idx="4">
                        <c:v>1.611075353333332</c:v>
                      </c:pt>
                      <c:pt idx="5">
                        <c:v>2.949218043333333</c:v>
                      </c:pt>
                      <c:pt idx="6">
                        <c:v>4.4529857033333329</c:v>
                      </c:pt>
                      <c:pt idx="7">
                        <c:v>6.3635804466666688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250380976"/>
        <c:scaling>
          <c:orientation val="minMax"/>
          <c:max val="0.60000000000000009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MWCNT-COOH Mass (mg)</a:t>
                </a:r>
                <a:endParaRPr lang="zh-CN"/>
              </a:p>
            </c:rich>
          </c:tx>
          <c:layout>
            <c:manualLayout>
              <c:xMode val="edge"/>
              <c:yMode val="edge"/>
              <c:x val="0.40333442694663163"/>
              <c:y val="0.93031585337547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381368"/>
        <c:crosses val="autoZero"/>
        <c:crossBetween val="midCat"/>
      </c:valAx>
      <c:valAx>
        <c:axId val="25038136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/>
                  <a:t>Δ</a:t>
                </a:r>
                <a:r>
                  <a:rPr lang="en-US"/>
                  <a:t>T (℃)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38097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509918163714791"/>
          <c:y val="8.465963031216843E-2"/>
          <c:w val="0.47014981036217662"/>
          <c:h val="0.14593548146907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a)</a:t>
            </a:r>
          </a:p>
        </c:rich>
      </c:tx>
      <c:layout>
        <c:manualLayout>
          <c:xMode val="edge"/>
          <c:yMode val="edge"/>
          <c:x val="2.7290166710812716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5302626544770584"/>
          <c:y val="5.0925925925925923E-2"/>
          <c:w val="0.81008485368992489"/>
          <c:h val="0.76722951297754427"/>
        </c:manualLayout>
      </c:layout>
      <c:scatterChart>
        <c:scatterStyle val="lineMarker"/>
        <c:varyColors val="0"/>
        <c:ser>
          <c:idx val="0"/>
          <c:order val="0"/>
          <c:tx>
            <c:strRef>
              <c:f>[2]IC!$M$1</c:f>
              <c:strCache>
                <c:ptCount val="1"/>
                <c:pt idx="0">
                  <c:v>MWCNT+Soil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[2]IC!$N$2:$N$6</c:f>
                <c:numCache>
                  <c:formatCode>General</c:formatCode>
                  <c:ptCount val="5"/>
                  <c:pt idx="0">
                    <c:v>0.108745861</c:v>
                  </c:pt>
                  <c:pt idx="1">
                    <c:v>9.355022715118174E-3</c:v>
                  </c:pt>
                  <c:pt idx="2">
                    <c:v>0.11417244488099849</c:v>
                  </c:pt>
                  <c:pt idx="3">
                    <c:v>0.11933538554304808</c:v>
                  </c:pt>
                  <c:pt idx="4">
                    <c:v>0.12286740645926789</c:v>
                  </c:pt>
                </c:numCache>
              </c:numRef>
            </c:plus>
            <c:minus>
              <c:numRef>
                <c:f>[2]IC!$N$2:$N$6</c:f>
                <c:numCache>
                  <c:formatCode>General</c:formatCode>
                  <c:ptCount val="5"/>
                  <c:pt idx="0">
                    <c:v>0.108745861</c:v>
                  </c:pt>
                  <c:pt idx="1">
                    <c:v>9.355022715118174E-3</c:v>
                  </c:pt>
                  <c:pt idx="2">
                    <c:v>0.11417244488099849</c:v>
                  </c:pt>
                  <c:pt idx="3">
                    <c:v>0.11933538554304808</c:v>
                  </c:pt>
                  <c:pt idx="4">
                    <c:v>0.12286740645926789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[2]IC!$J$2:$J$6</c:f>
              <c:numCache>
                <c:formatCode>General</c:formatCode>
                <c:ptCount val="5"/>
                <c:pt idx="0">
                  <c:v>0</c:v>
                </c:pt>
                <c:pt idx="1">
                  <c:v>0.67924528301886788</c:v>
                </c:pt>
                <c:pt idx="2">
                  <c:v>2.0377358490566038</c:v>
                </c:pt>
                <c:pt idx="3">
                  <c:v>4.0754716981132075</c:v>
                </c:pt>
                <c:pt idx="4">
                  <c:v>6.7924528301886795</c:v>
                </c:pt>
              </c:numCache>
            </c:numRef>
          </c:xVal>
          <c:yVal>
            <c:numRef>
              <c:f>[2]IC!$M$2:$M$6</c:f>
              <c:numCache>
                <c:formatCode>General</c:formatCode>
                <c:ptCount val="5"/>
                <c:pt idx="0">
                  <c:v>3.7036804057500001</c:v>
                </c:pt>
                <c:pt idx="1">
                  <c:v>3.7618756891148841</c:v>
                </c:pt>
                <c:pt idx="2">
                  <c:v>3.710838390000001</c:v>
                </c:pt>
                <c:pt idx="3">
                  <c:v>3.7317093133333352</c:v>
                </c:pt>
                <c:pt idx="4">
                  <c:v>3.7022175162941533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[2]IC!$O$1</c:f>
              <c:strCache>
                <c:ptCount val="1"/>
                <c:pt idx="0">
                  <c:v>SWCNT+Soil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[2]IC!$P$2:$P$6</c:f>
                <c:numCache>
                  <c:formatCode>General</c:formatCode>
                  <c:ptCount val="5"/>
                  <c:pt idx="0">
                    <c:v>2.1393809457122701E-2</c:v>
                  </c:pt>
                  <c:pt idx="1">
                    <c:v>7.7283177932335453E-2</c:v>
                  </c:pt>
                  <c:pt idx="2">
                    <c:v>0.10900272073570223</c:v>
                  </c:pt>
                  <c:pt idx="3">
                    <c:v>7.5320484001906302E-2</c:v>
                  </c:pt>
                  <c:pt idx="4">
                    <c:v>1.0434859622782729E-2</c:v>
                  </c:pt>
                </c:numCache>
              </c:numRef>
            </c:plus>
            <c:minus>
              <c:numRef>
                <c:f>[2]IC!$P$2:$P$6</c:f>
                <c:numCache>
                  <c:formatCode>General</c:formatCode>
                  <c:ptCount val="5"/>
                  <c:pt idx="0">
                    <c:v>2.1393809457122701E-2</c:v>
                  </c:pt>
                  <c:pt idx="1">
                    <c:v>7.7283177932335453E-2</c:v>
                  </c:pt>
                  <c:pt idx="2">
                    <c:v>0.10900272073570223</c:v>
                  </c:pt>
                  <c:pt idx="3">
                    <c:v>7.5320484001906302E-2</c:v>
                  </c:pt>
                  <c:pt idx="4">
                    <c:v>1.0434859622782729E-2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[2]IC!$J$2:$J$6</c:f>
              <c:numCache>
                <c:formatCode>General</c:formatCode>
                <c:ptCount val="5"/>
                <c:pt idx="0">
                  <c:v>0</c:v>
                </c:pt>
                <c:pt idx="1">
                  <c:v>0.67924528301886788</c:v>
                </c:pt>
                <c:pt idx="2">
                  <c:v>2.0377358490566038</c:v>
                </c:pt>
                <c:pt idx="3">
                  <c:v>4.0754716981132075</c:v>
                </c:pt>
                <c:pt idx="4">
                  <c:v>6.7924528301886795</c:v>
                </c:pt>
              </c:numCache>
            </c:numRef>
          </c:xVal>
          <c:yVal>
            <c:numRef>
              <c:f>[2]IC!$O$2:$O$6</c:f>
              <c:numCache>
                <c:formatCode>General</c:formatCode>
                <c:ptCount val="5"/>
                <c:pt idx="0">
                  <c:v>3.1195788430000002</c:v>
                </c:pt>
                <c:pt idx="1">
                  <c:v>3.0262137806035998</c:v>
                </c:pt>
                <c:pt idx="2">
                  <c:v>3.1326726469999997</c:v>
                </c:pt>
                <c:pt idx="3">
                  <c:v>3.1828639150000004</c:v>
                </c:pt>
                <c:pt idx="4">
                  <c:v>3.149459499999999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[2]IC!$Q$1</c:f>
              <c:strCache>
                <c:ptCount val="1"/>
                <c:pt idx="0">
                  <c:v>MWCNT-COOH+Soil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[2]IC!$R$2:$R$6</c:f>
                <c:numCache>
                  <c:formatCode>General</c:formatCode>
                  <c:ptCount val="5"/>
                  <c:pt idx="0">
                    <c:v>0.102139380945712</c:v>
                  </c:pt>
                  <c:pt idx="1">
                    <c:v>1.7204332250339203E-2</c:v>
                  </c:pt>
                  <c:pt idx="2">
                    <c:v>1.7780694987674674E-3</c:v>
                  </c:pt>
                  <c:pt idx="3">
                    <c:v>8.9972889092142808E-2</c:v>
                  </c:pt>
                  <c:pt idx="4">
                    <c:v>0.1724547737972103</c:v>
                  </c:pt>
                </c:numCache>
              </c:numRef>
            </c:plus>
            <c:minus>
              <c:numRef>
                <c:f>[2]IC!$R$2:$R$6</c:f>
                <c:numCache>
                  <c:formatCode>General</c:formatCode>
                  <c:ptCount val="5"/>
                  <c:pt idx="0">
                    <c:v>0.102139380945712</c:v>
                  </c:pt>
                  <c:pt idx="1">
                    <c:v>1.7204332250339203E-2</c:v>
                  </c:pt>
                  <c:pt idx="2">
                    <c:v>1.7780694987674674E-3</c:v>
                  </c:pt>
                  <c:pt idx="3">
                    <c:v>8.9972889092142808E-2</c:v>
                  </c:pt>
                  <c:pt idx="4">
                    <c:v>0.1724547737972103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[2]IC!$J$2:$J$6</c:f>
              <c:numCache>
                <c:formatCode>General</c:formatCode>
                <c:ptCount val="5"/>
                <c:pt idx="0">
                  <c:v>0</c:v>
                </c:pt>
                <c:pt idx="1">
                  <c:v>0.67924528301886788</c:v>
                </c:pt>
                <c:pt idx="2">
                  <c:v>2.0377358490566038</c:v>
                </c:pt>
                <c:pt idx="3">
                  <c:v>4.0754716981132075</c:v>
                </c:pt>
                <c:pt idx="4">
                  <c:v>6.7924528301886795</c:v>
                </c:pt>
              </c:numCache>
            </c:numRef>
          </c:xVal>
          <c:yVal>
            <c:numRef>
              <c:f>[2]IC!$Q$2:$Q$6</c:f>
              <c:numCache>
                <c:formatCode>General</c:formatCode>
                <c:ptCount val="5"/>
                <c:pt idx="0">
                  <c:v>2.6560828700000001</c:v>
                </c:pt>
                <c:pt idx="1">
                  <c:v>2.7258920699999987</c:v>
                </c:pt>
                <c:pt idx="2">
                  <c:v>2.5321654250000005</c:v>
                </c:pt>
                <c:pt idx="3">
                  <c:v>2.61494246</c:v>
                </c:pt>
                <c:pt idx="4">
                  <c:v>2.69466596</c:v>
                </c:pt>
              </c:numCache>
            </c:numRef>
          </c:yVal>
          <c:smooth val="0"/>
        </c:ser>
        <c:ser>
          <c:idx val="3"/>
          <c:order val="3"/>
          <c:tx>
            <c:v>Soil only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[2]IC!$L$2:$L$6</c:f>
                <c:numCache>
                  <c:formatCode>General</c:formatCode>
                  <c:ptCount val="5"/>
                  <c:pt idx="0">
                    <c:v>8.4759139999999997E-2</c:v>
                  </c:pt>
                  <c:pt idx="1">
                    <c:v>0.10543297920624285</c:v>
                  </c:pt>
                  <c:pt idx="2">
                    <c:v>3.0613813324877056E-2</c:v>
                  </c:pt>
                  <c:pt idx="3">
                    <c:v>5.8712497326549339E-2</c:v>
                  </c:pt>
                  <c:pt idx="4">
                    <c:v>1.1106504998893735E-2</c:v>
                  </c:pt>
                </c:numCache>
              </c:numRef>
            </c:plus>
            <c:minus>
              <c:numRef>
                <c:f>[2]IC!$L$2:$L$6</c:f>
                <c:numCache>
                  <c:formatCode>General</c:formatCode>
                  <c:ptCount val="5"/>
                  <c:pt idx="0">
                    <c:v>8.4759139999999997E-2</c:v>
                  </c:pt>
                  <c:pt idx="1">
                    <c:v>0.10543297920624285</c:v>
                  </c:pt>
                  <c:pt idx="2">
                    <c:v>3.0613813324877056E-2</c:v>
                  </c:pt>
                  <c:pt idx="3">
                    <c:v>5.8712497326549339E-2</c:v>
                  </c:pt>
                  <c:pt idx="4">
                    <c:v>1.1106504998893735E-2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[2]IC!$J$2:$J$6</c:f>
              <c:numCache>
                <c:formatCode>General</c:formatCode>
                <c:ptCount val="5"/>
                <c:pt idx="0">
                  <c:v>0</c:v>
                </c:pt>
                <c:pt idx="1">
                  <c:v>0.67924528301886788</c:v>
                </c:pt>
                <c:pt idx="2">
                  <c:v>2.0377358490566038</c:v>
                </c:pt>
                <c:pt idx="3">
                  <c:v>4.0754716981132075</c:v>
                </c:pt>
                <c:pt idx="4">
                  <c:v>6.7924528301886795</c:v>
                </c:pt>
              </c:numCache>
            </c:numRef>
          </c:xVal>
          <c:yVal>
            <c:numRef>
              <c:f>[2]IC!$K$2:$K$6</c:f>
              <c:numCache>
                <c:formatCode>General</c:formatCode>
                <c:ptCount val="5"/>
                <c:pt idx="0">
                  <c:v>1.2940814149018907</c:v>
                </c:pt>
                <c:pt idx="1">
                  <c:v>1.2807083145574367</c:v>
                </c:pt>
                <c:pt idx="2">
                  <c:v>1.3225307149999992</c:v>
                </c:pt>
                <c:pt idx="3">
                  <c:v>1.3214746550000012</c:v>
                </c:pt>
                <c:pt idx="4">
                  <c:v>1.2821310649999997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382152"/>
        <c:axId val="250382544"/>
        <c:extLst/>
      </c:scatterChart>
      <c:valAx>
        <c:axId val="250382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/>
                  <a:t>Inorganic Carbon Content (mg/100mg soil)</a:t>
                </a:r>
              </a:p>
            </c:rich>
          </c:tx>
          <c:layout>
            <c:manualLayout>
              <c:xMode val="edge"/>
              <c:yMode val="edge"/>
              <c:x val="0.17740452992460801"/>
              <c:y val="0.925083957633686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382544"/>
        <c:crosses val="autoZero"/>
        <c:crossBetween val="midCat"/>
      </c:valAx>
      <c:valAx>
        <c:axId val="250382544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/>
                  <a:t>∆T (℃)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5038215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5510666823884951"/>
          <c:y val="0.47452768351269053"/>
          <c:w val="0.40025184040014966"/>
          <c:h val="0.21185231592886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50"/>
              <a:t>b)</a:t>
            </a:r>
          </a:p>
        </c:rich>
      </c:tx>
      <c:layout>
        <c:manualLayout>
          <c:xMode val="edge"/>
          <c:yMode val="edge"/>
          <c:x val="2.611963259944174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5570611968610956"/>
          <c:y val="7.0283135339789846E-2"/>
          <c:w val="0.79969653067066926"/>
          <c:h val="0.78074920512984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[2]HA!$V$2</c:f>
              <c:strCache>
                <c:ptCount val="1"/>
                <c:pt idx="0">
                  <c:v>MWCNT+Soil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[2]HA!$W$3:$W$7</c:f>
                <c:numCache>
                  <c:formatCode>General</c:formatCode>
                  <c:ptCount val="5"/>
                  <c:pt idx="0">
                    <c:v>7.0516435885886212E-3</c:v>
                  </c:pt>
                  <c:pt idx="1">
                    <c:v>0.11348327032778069</c:v>
                  </c:pt>
                  <c:pt idx="2">
                    <c:v>0.12289850318529734</c:v>
                  </c:pt>
                  <c:pt idx="3">
                    <c:v>0.10467356836233303</c:v>
                  </c:pt>
                  <c:pt idx="4">
                    <c:v>0.12289850318529734</c:v>
                  </c:pt>
                </c:numCache>
              </c:numRef>
            </c:plus>
            <c:minus>
              <c:numRef>
                <c:f>[2]HA!$W$3:$W$7</c:f>
                <c:numCache>
                  <c:formatCode>General</c:formatCode>
                  <c:ptCount val="5"/>
                  <c:pt idx="0">
                    <c:v>7.0516435885886212E-3</c:v>
                  </c:pt>
                  <c:pt idx="1">
                    <c:v>0.11348327032778069</c:v>
                  </c:pt>
                  <c:pt idx="2">
                    <c:v>0.12289850318529734</c:v>
                  </c:pt>
                  <c:pt idx="3">
                    <c:v>0.10467356836233303</c:v>
                  </c:pt>
                  <c:pt idx="4">
                    <c:v>0.12289850318529734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5"/>
                </a:solidFill>
                <a:round/>
              </a:ln>
              <a:effectLst/>
            </c:spPr>
          </c:errBars>
          <c:xVal>
            <c:numRef>
              <c:f>[2]HA!$S$3:$S$7</c:f>
              <c:numCache>
                <c:formatCode>General</c:formatCode>
                <c:ptCount val="5"/>
                <c:pt idx="0">
                  <c:v>1.1499999999999999</c:v>
                </c:pt>
                <c:pt idx="1">
                  <c:v>3.601</c:v>
                </c:pt>
                <c:pt idx="2">
                  <c:v>5.282</c:v>
                </c:pt>
                <c:pt idx="3">
                  <c:v>6.3570000000000002</c:v>
                </c:pt>
                <c:pt idx="4">
                  <c:v>7.75</c:v>
                </c:pt>
              </c:numCache>
            </c:numRef>
          </c:xVal>
          <c:yVal>
            <c:numRef>
              <c:f>[2]HA!$V$3:$V$7</c:f>
              <c:numCache>
                <c:formatCode>General</c:formatCode>
                <c:ptCount val="5"/>
                <c:pt idx="0">
                  <c:v>3.6434417349999992</c:v>
                </c:pt>
                <c:pt idx="1">
                  <c:v>3.4015996499999988</c:v>
                </c:pt>
                <c:pt idx="2">
                  <c:v>2.9669262549999993</c:v>
                </c:pt>
                <c:pt idx="3">
                  <c:v>2.9393019300000001</c:v>
                </c:pt>
                <c:pt idx="4">
                  <c:v>2.8164607050000012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[2]HA!$X$2</c:f>
              <c:strCache>
                <c:ptCount val="1"/>
                <c:pt idx="0">
                  <c:v>SWCNT+Soil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[2]HA!$Y$3:$Y$7</c:f>
                <c:numCache>
                  <c:formatCode>General</c:formatCode>
                  <c:ptCount val="5"/>
                  <c:pt idx="0">
                    <c:v>2.8376849909894752E-2</c:v>
                  </c:pt>
                  <c:pt idx="1">
                    <c:v>0.13713447187889158</c:v>
                  </c:pt>
                  <c:pt idx="2">
                    <c:v>6.5675992983792425E-2</c:v>
                  </c:pt>
                  <c:pt idx="3">
                    <c:v>2.0631742458357995E-2</c:v>
                  </c:pt>
                  <c:pt idx="4">
                    <c:v>1.9239930038813819E-2</c:v>
                  </c:pt>
                </c:numCache>
              </c:numRef>
            </c:plus>
            <c:minus>
              <c:numRef>
                <c:f>[2]HA!$Y$3:$Y$7</c:f>
                <c:numCache>
                  <c:formatCode>General</c:formatCode>
                  <c:ptCount val="5"/>
                  <c:pt idx="0">
                    <c:v>2.8376849909894752E-2</c:v>
                  </c:pt>
                  <c:pt idx="1">
                    <c:v>0.13713447187889158</c:v>
                  </c:pt>
                  <c:pt idx="2">
                    <c:v>6.5675992983792425E-2</c:v>
                  </c:pt>
                  <c:pt idx="3">
                    <c:v>2.0631742458357995E-2</c:v>
                  </c:pt>
                  <c:pt idx="4">
                    <c:v>1.9239930038813819E-2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xVal>
            <c:numRef>
              <c:f>[2]HA!$S$3:$S$7</c:f>
              <c:numCache>
                <c:formatCode>General</c:formatCode>
                <c:ptCount val="5"/>
                <c:pt idx="0">
                  <c:v>1.1499999999999999</c:v>
                </c:pt>
                <c:pt idx="1">
                  <c:v>3.601</c:v>
                </c:pt>
                <c:pt idx="2">
                  <c:v>5.282</c:v>
                </c:pt>
                <c:pt idx="3">
                  <c:v>6.3570000000000002</c:v>
                </c:pt>
                <c:pt idx="4">
                  <c:v>7.75</c:v>
                </c:pt>
              </c:numCache>
            </c:numRef>
          </c:xVal>
          <c:yVal>
            <c:numRef>
              <c:f>[2]HA!$X$3:$X$7</c:f>
              <c:numCache>
                <c:formatCode>General</c:formatCode>
                <c:ptCount val="5"/>
                <c:pt idx="0">
                  <c:v>3.0322072930000008</c:v>
                </c:pt>
                <c:pt idx="1">
                  <c:v>2.6743082350000007</c:v>
                </c:pt>
                <c:pt idx="2">
                  <c:v>2.5667724200000004</c:v>
                </c:pt>
                <c:pt idx="3">
                  <c:v>2.5389688849999992</c:v>
                </c:pt>
                <c:pt idx="4">
                  <c:v>2.4743082350000014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[2]HA!$Z$2</c:f>
              <c:strCache>
                <c:ptCount val="1"/>
                <c:pt idx="0">
                  <c:v>MWCNT-COOH+Soil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[2]HA!$AA$3:$AA$7</c:f>
                <c:numCache>
                  <c:formatCode>General</c:formatCode>
                  <c:ptCount val="5"/>
                  <c:pt idx="0">
                    <c:v>0.10016396658104371</c:v>
                  </c:pt>
                  <c:pt idx="1">
                    <c:v>2.1179686574167945E-2</c:v>
                  </c:pt>
                  <c:pt idx="2">
                    <c:v>6.0578262208325455E-3</c:v>
                  </c:pt>
                  <c:pt idx="3">
                    <c:v>5.3029918532358597E-2</c:v>
                  </c:pt>
                  <c:pt idx="4">
                    <c:v>0.19361364809748813</c:v>
                  </c:pt>
                </c:numCache>
              </c:numRef>
            </c:plus>
            <c:minus>
              <c:numRef>
                <c:f>[2]HA!$AA$3:$AA$7</c:f>
                <c:numCache>
                  <c:formatCode>General</c:formatCode>
                  <c:ptCount val="5"/>
                  <c:pt idx="0">
                    <c:v>0.10016396658104371</c:v>
                  </c:pt>
                  <c:pt idx="1">
                    <c:v>2.1179686574167945E-2</c:v>
                  </c:pt>
                  <c:pt idx="2">
                    <c:v>6.0578262208325455E-3</c:v>
                  </c:pt>
                  <c:pt idx="3">
                    <c:v>5.3029918532358597E-2</c:v>
                  </c:pt>
                  <c:pt idx="4">
                    <c:v>0.19361364809748813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6"/>
                </a:solidFill>
                <a:round/>
              </a:ln>
              <a:effectLst/>
            </c:spPr>
          </c:errBars>
          <c:xVal>
            <c:numRef>
              <c:f>[2]HA!$S$3:$S$7</c:f>
              <c:numCache>
                <c:formatCode>General</c:formatCode>
                <c:ptCount val="5"/>
                <c:pt idx="0">
                  <c:v>1.1499999999999999</c:v>
                </c:pt>
                <c:pt idx="1">
                  <c:v>3.601</c:v>
                </c:pt>
                <c:pt idx="2">
                  <c:v>5.282</c:v>
                </c:pt>
                <c:pt idx="3">
                  <c:v>6.3570000000000002</c:v>
                </c:pt>
                <c:pt idx="4">
                  <c:v>7.75</c:v>
                </c:pt>
              </c:numCache>
            </c:numRef>
          </c:xVal>
          <c:yVal>
            <c:numRef>
              <c:f>[2]HA!$Z$3:$Z$7</c:f>
              <c:numCache>
                <c:formatCode>General</c:formatCode>
                <c:ptCount val="5"/>
                <c:pt idx="0">
                  <c:v>2.62201203</c:v>
                </c:pt>
                <c:pt idx="1">
                  <c:v>2.2868504500000015</c:v>
                </c:pt>
                <c:pt idx="2">
                  <c:v>2.3000031199999995</c:v>
                </c:pt>
                <c:pt idx="3">
                  <c:v>2.2850211849999988</c:v>
                </c:pt>
                <c:pt idx="4">
                  <c:v>2.0505873835000008</c:v>
                </c:pt>
              </c:numCache>
            </c:numRef>
          </c:yVal>
          <c:smooth val="0"/>
        </c:ser>
        <c:ser>
          <c:idx val="3"/>
          <c:order val="3"/>
          <c:tx>
            <c:v>Soil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[2]HA!$M$3:$M$7</c:f>
                <c:numCache>
                  <c:formatCode>General</c:formatCode>
                  <c:ptCount val="5"/>
                  <c:pt idx="0">
                    <c:v>2.4866166564680849E-2</c:v>
                  </c:pt>
                  <c:pt idx="1">
                    <c:v>9.2905033719790295E-2</c:v>
                  </c:pt>
                  <c:pt idx="2">
                    <c:v>5.1029874072841389E-2</c:v>
                  </c:pt>
                  <c:pt idx="3">
                    <c:v>2.8935990354478986E-2</c:v>
                  </c:pt>
                  <c:pt idx="4">
                    <c:v>8.3834579977673973E-4</c:v>
                  </c:pt>
                </c:numCache>
              </c:numRef>
            </c:plus>
            <c:minus>
              <c:numRef>
                <c:f>[2]HA!$M$3:$M$7</c:f>
                <c:numCache>
                  <c:formatCode>General</c:formatCode>
                  <c:ptCount val="5"/>
                  <c:pt idx="0">
                    <c:v>2.4866166564680849E-2</c:v>
                  </c:pt>
                  <c:pt idx="1">
                    <c:v>9.2905033719790295E-2</c:v>
                  </c:pt>
                  <c:pt idx="2">
                    <c:v>5.1029874072841389E-2</c:v>
                  </c:pt>
                  <c:pt idx="3">
                    <c:v>2.8935990354478986E-2</c:v>
                  </c:pt>
                  <c:pt idx="4">
                    <c:v>8.3834579977673973E-4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accent4"/>
                </a:solidFill>
                <a:round/>
              </a:ln>
              <a:effectLst/>
            </c:spPr>
          </c:errBars>
          <c:xVal>
            <c:numRef>
              <c:f>[2]HA!$S$3:$S$7</c:f>
              <c:numCache>
                <c:formatCode>General</c:formatCode>
                <c:ptCount val="5"/>
                <c:pt idx="0">
                  <c:v>1.1499999999999999</c:v>
                </c:pt>
                <c:pt idx="1">
                  <c:v>3.601</c:v>
                </c:pt>
                <c:pt idx="2">
                  <c:v>5.282</c:v>
                </c:pt>
                <c:pt idx="3">
                  <c:v>6.3570000000000002</c:v>
                </c:pt>
                <c:pt idx="4">
                  <c:v>7.75</c:v>
                </c:pt>
              </c:numCache>
            </c:numRef>
          </c:xVal>
          <c:yVal>
            <c:numRef>
              <c:f>[2]HA!$T$3:$T$7</c:f>
              <c:numCache>
                <c:formatCode>General</c:formatCode>
                <c:ptCount val="5"/>
                <c:pt idx="0">
                  <c:v>1.3474816000000001</c:v>
                </c:pt>
                <c:pt idx="1">
                  <c:v>1.625501333333333</c:v>
                </c:pt>
                <c:pt idx="2">
                  <c:v>1.7241419400000004</c:v>
                </c:pt>
                <c:pt idx="3">
                  <c:v>1.745796695000001</c:v>
                </c:pt>
                <c:pt idx="4">
                  <c:v>1.80173904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529456"/>
        <c:axId val="248529064"/>
      </c:scatterChart>
      <c:valAx>
        <c:axId val="248529456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Organic Carbon Content (mg/100mgsoil)</a:t>
                </a:r>
              </a:p>
            </c:rich>
          </c:tx>
          <c:layout>
            <c:manualLayout>
              <c:xMode val="edge"/>
              <c:yMode val="edge"/>
              <c:x val="0.20132517838939856"/>
              <c:y val="0.928864074917464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29064"/>
        <c:crosses val="autoZero"/>
        <c:crossBetween val="midCat"/>
      </c:valAx>
      <c:valAx>
        <c:axId val="248529064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</a:t>
                </a:r>
                <a:r>
                  <a:rPr lang="el-GR"/>
                  <a:t>Δ</a:t>
                </a:r>
                <a:r>
                  <a:rPr lang="en-US"/>
                  <a:t>T (°C)</a:t>
                </a:r>
              </a:p>
            </c:rich>
          </c:tx>
          <c:layout>
            <c:manualLayout>
              <c:xMode val="edge"/>
              <c:yMode val="edge"/>
              <c:x val="3.9246336562669725E-3"/>
              <c:y val="0.39222688627336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24852945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6461341605999557"/>
          <c:y val="0.66446724647223976"/>
          <c:w val="0.47506561679790027"/>
          <c:h val="0.17507681966583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15</xdr:row>
      <xdr:rowOff>161925</xdr:rowOff>
    </xdr:from>
    <xdr:to>
      <xdr:col>5</xdr:col>
      <xdr:colOff>151639</xdr:colOff>
      <xdr:row>28</xdr:row>
      <xdr:rowOff>185928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152400</xdr:colOff>
      <xdr:row>16</xdr:row>
      <xdr:rowOff>19050</xdr:rowOff>
    </xdr:from>
    <xdr:to>
      <xdr:col>10</xdr:col>
      <xdr:colOff>399288</xdr:colOff>
      <xdr:row>29</xdr:row>
      <xdr:rowOff>43053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15</xdr:row>
      <xdr:rowOff>133350</xdr:rowOff>
    </xdr:from>
    <xdr:to>
      <xdr:col>6</xdr:col>
      <xdr:colOff>332613</xdr:colOff>
      <xdr:row>29</xdr:row>
      <xdr:rowOff>90678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15</xdr:row>
      <xdr:rowOff>95250</xdr:rowOff>
    </xdr:from>
    <xdr:to>
      <xdr:col>10</xdr:col>
      <xdr:colOff>637413</xdr:colOff>
      <xdr:row>29</xdr:row>
      <xdr:rowOff>52578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45</xdr:row>
      <xdr:rowOff>9525</xdr:rowOff>
    </xdr:from>
    <xdr:to>
      <xdr:col>10</xdr:col>
      <xdr:colOff>446913</xdr:colOff>
      <xdr:row>58</xdr:row>
      <xdr:rowOff>157353</xdr:rowOff>
    </xdr:to>
    <xdr:graphicFrame macro="">
      <xdr:nvGraphicFramePr>
        <xdr:cNvPr id="5" name="图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60</xdr:row>
      <xdr:rowOff>123825</xdr:rowOff>
    </xdr:from>
    <xdr:to>
      <xdr:col>16</xdr:col>
      <xdr:colOff>419100</xdr:colOff>
      <xdr:row>74</xdr:row>
      <xdr:rowOff>142875</xdr:rowOff>
    </xdr:to>
    <xdr:graphicFrame macro="">
      <xdr:nvGraphicFramePr>
        <xdr:cNvPr id="6" name="图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485775</xdr:colOff>
      <xdr:row>60</xdr:row>
      <xdr:rowOff>85725</xdr:rowOff>
    </xdr:from>
    <xdr:to>
      <xdr:col>11</xdr:col>
      <xdr:colOff>609600</xdr:colOff>
      <xdr:row>74</xdr:row>
      <xdr:rowOff>104775</xdr:rowOff>
    </xdr:to>
    <xdr:graphicFrame macro="">
      <xdr:nvGraphicFramePr>
        <xdr:cNvPr id="7" name="图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1</xdr:row>
      <xdr:rowOff>9525</xdr:rowOff>
    </xdr:from>
    <xdr:to>
      <xdr:col>15</xdr:col>
      <xdr:colOff>599313</xdr:colOff>
      <xdr:row>14</xdr:row>
      <xdr:rowOff>33528</xdr:rowOff>
    </xdr:to>
    <xdr:graphicFrame macro="">
      <xdr:nvGraphicFramePr>
        <xdr:cNvPr id="4" name="图表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428625</xdr:colOff>
      <xdr:row>8</xdr:row>
      <xdr:rowOff>38100</xdr:rowOff>
    </xdr:from>
    <xdr:to>
      <xdr:col>15</xdr:col>
      <xdr:colOff>675513</xdr:colOff>
      <xdr:row>21</xdr:row>
      <xdr:rowOff>62103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466725</xdr:colOff>
      <xdr:row>13</xdr:row>
      <xdr:rowOff>85725</xdr:rowOff>
    </xdr:from>
    <xdr:to>
      <xdr:col>16</xdr:col>
      <xdr:colOff>27813</xdr:colOff>
      <xdr:row>26</xdr:row>
      <xdr:rowOff>109728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438150</xdr:colOff>
      <xdr:row>17</xdr:row>
      <xdr:rowOff>123825</xdr:rowOff>
    </xdr:from>
    <xdr:to>
      <xdr:col>15</xdr:col>
      <xdr:colOff>685038</xdr:colOff>
      <xdr:row>30</xdr:row>
      <xdr:rowOff>147828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590550</xdr:colOff>
      <xdr:row>28</xdr:row>
      <xdr:rowOff>133350</xdr:rowOff>
    </xdr:from>
    <xdr:to>
      <xdr:col>16</xdr:col>
      <xdr:colOff>151638</xdr:colOff>
      <xdr:row>41</xdr:row>
      <xdr:rowOff>157353</xdr:rowOff>
    </xdr:to>
    <xdr:graphicFrame macro="">
      <xdr:nvGraphicFramePr>
        <xdr:cNvPr id="10" name="图表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104775</xdr:colOff>
      <xdr:row>42</xdr:row>
      <xdr:rowOff>0</xdr:rowOff>
    </xdr:from>
    <xdr:to>
      <xdr:col>16</xdr:col>
      <xdr:colOff>351663</xdr:colOff>
      <xdr:row>55</xdr:row>
      <xdr:rowOff>62103</xdr:rowOff>
    </xdr:to>
    <xdr:graphicFrame macro="">
      <xdr:nvGraphicFramePr>
        <xdr:cNvPr id="8" name="图表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152400</xdr:rowOff>
    </xdr:from>
    <xdr:to>
      <xdr:col>12</xdr:col>
      <xdr:colOff>256413</xdr:colOff>
      <xdr:row>14</xdr:row>
      <xdr:rowOff>176403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17</xdr:row>
      <xdr:rowOff>171450</xdr:rowOff>
    </xdr:from>
    <xdr:to>
      <xdr:col>8</xdr:col>
      <xdr:colOff>304038</xdr:colOff>
      <xdr:row>31</xdr:row>
      <xdr:rowOff>71628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17</xdr:row>
      <xdr:rowOff>133349</xdr:rowOff>
    </xdr:from>
    <xdr:to>
      <xdr:col>12</xdr:col>
      <xdr:colOff>132588</xdr:colOff>
      <xdr:row>31</xdr:row>
      <xdr:rowOff>33527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67</xdr:row>
      <xdr:rowOff>0</xdr:rowOff>
    </xdr:from>
    <xdr:to>
      <xdr:col>26</xdr:col>
      <xdr:colOff>246888</xdr:colOff>
      <xdr:row>80</xdr:row>
      <xdr:rowOff>14478</xdr:rowOff>
    </xdr:to>
    <xdr:graphicFrame macro="">
      <xdr:nvGraphicFramePr>
        <xdr:cNvPr id="4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476250</xdr:colOff>
      <xdr:row>67</xdr:row>
      <xdr:rowOff>9525</xdr:rowOff>
    </xdr:from>
    <xdr:to>
      <xdr:col>31</xdr:col>
      <xdr:colOff>37338</xdr:colOff>
      <xdr:row>80</xdr:row>
      <xdr:rowOff>24003</xdr:rowOff>
    </xdr:to>
    <xdr:graphicFrame macro="">
      <xdr:nvGraphicFramePr>
        <xdr:cNvPr id="5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67</xdr:row>
      <xdr:rowOff>0</xdr:rowOff>
    </xdr:from>
    <xdr:to>
      <xdr:col>36</xdr:col>
      <xdr:colOff>246888</xdr:colOff>
      <xdr:row>80</xdr:row>
      <xdr:rowOff>14478</xdr:rowOff>
    </xdr:to>
    <xdr:graphicFrame macro="">
      <xdr:nvGraphicFramePr>
        <xdr:cNvPr id="6" name="图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46</xdr:row>
      <xdr:rowOff>133350</xdr:rowOff>
    </xdr:from>
    <xdr:to>
      <xdr:col>6</xdr:col>
      <xdr:colOff>275463</xdr:colOff>
      <xdr:row>61</xdr:row>
      <xdr:rowOff>43053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47</xdr:row>
      <xdr:rowOff>19050</xdr:rowOff>
    </xdr:from>
    <xdr:to>
      <xdr:col>10</xdr:col>
      <xdr:colOff>580263</xdr:colOff>
      <xdr:row>61</xdr:row>
      <xdr:rowOff>109728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619125</xdr:colOff>
      <xdr:row>62</xdr:row>
      <xdr:rowOff>57150</xdr:rowOff>
    </xdr:from>
    <xdr:to>
      <xdr:col>6</xdr:col>
      <xdr:colOff>180213</xdr:colOff>
      <xdr:row>76</xdr:row>
      <xdr:rowOff>147828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238125</xdr:colOff>
      <xdr:row>62</xdr:row>
      <xdr:rowOff>19050</xdr:rowOff>
    </xdr:from>
    <xdr:to>
      <xdr:col>10</xdr:col>
      <xdr:colOff>485013</xdr:colOff>
      <xdr:row>76</xdr:row>
      <xdr:rowOff>109728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600075</xdr:colOff>
      <xdr:row>77</xdr:row>
      <xdr:rowOff>133350</xdr:rowOff>
    </xdr:from>
    <xdr:to>
      <xdr:col>6</xdr:col>
      <xdr:colOff>161163</xdr:colOff>
      <xdr:row>92</xdr:row>
      <xdr:rowOff>43053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247650</xdr:colOff>
      <xdr:row>77</xdr:row>
      <xdr:rowOff>171450</xdr:rowOff>
    </xdr:from>
    <xdr:to>
      <xdr:col>10</xdr:col>
      <xdr:colOff>494538</xdr:colOff>
      <xdr:row>92</xdr:row>
      <xdr:rowOff>81153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40</xdr:row>
      <xdr:rowOff>66675</xdr:rowOff>
    </xdr:from>
    <xdr:to>
      <xdr:col>10</xdr:col>
      <xdr:colOff>580263</xdr:colOff>
      <xdr:row>53</xdr:row>
      <xdr:rowOff>90678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41</xdr:row>
      <xdr:rowOff>114300</xdr:rowOff>
    </xdr:from>
    <xdr:to>
      <xdr:col>16</xdr:col>
      <xdr:colOff>227838</xdr:colOff>
      <xdr:row>54</xdr:row>
      <xdr:rowOff>138303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wave\Data\Soil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o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ludge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mgMWCNT"/>
      <sheetName val="40mgMWCNT"/>
      <sheetName val="20mgMWCNTSolution"/>
      <sheetName val="20mgSWCNTSolution"/>
      <sheetName val="4mgCNTsolution"/>
      <sheetName val="40mgMWCNTCTAB Solution"/>
      <sheetName val="MWCNT"/>
      <sheetName val="SWCNT"/>
      <sheetName val="COOH"/>
      <sheetName val="Plot"/>
      <sheetName val="mixture"/>
      <sheetName val="IC"/>
      <sheetName val="Other carbon"/>
      <sheetName val="HA"/>
      <sheetName val="Controls"/>
      <sheetName val="Ma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R7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P5">
            <v>0</v>
          </cell>
          <cell r="R5">
            <v>0.35499999999999998</v>
          </cell>
          <cell r="S5">
            <v>0</v>
          </cell>
          <cell r="T5">
            <v>0</v>
          </cell>
          <cell r="U5">
            <v>1.346733</v>
          </cell>
          <cell r="V5">
            <v>0</v>
          </cell>
          <cell r="Z5">
            <v>0</v>
          </cell>
          <cell r="AB5">
            <v>0.35</v>
          </cell>
          <cell r="AD5">
            <v>0</v>
          </cell>
          <cell r="AE5">
            <v>1.346733</v>
          </cell>
        </row>
        <row r="6">
          <cell r="P6">
            <v>0.03</v>
          </cell>
          <cell r="R6">
            <v>1.4749272480000009</v>
          </cell>
          <cell r="S6">
            <v>1.1199272480000009</v>
          </cell>
          <cell r="T6">
            <v>1.0500000000000001E-2</v>
          </cell>
          <cell r="U6">
            <v>1.6964854824435029</v>
          </cell>
          <cell r="V6">
            <v>0.34975248244350299</v>
          </cell>
          <cell r="Z6">
            <v>0.09</v>
          </cell>
          <cell r="AB6">
            <v>1.3817847360000008</v>
          </cell>
          <cell r="AD6">
            <v>0.03</v>
          </cell>
          <cell r="AE6">
            <v>1.70426371</v>
          </cell>
        </row>
        <row r="7">
          <cell r="P7">
            <v>0.09</v>
          </cell>
          <cell r="R7">
            <v>2.2821129400000033</v>
          </cell>
          <cell r="S7">
            <v>1.9271129400000033</v>
          </cell>
          <cell r="T7">
            <v>0.03</v>
          </cell>
          <cell r="U7">
            <v>2.0460879999999997</v>
          </cell>
          <cell r="V7">
            <v>0.69935499999999973</v>
          </cell>
          <cell r="Z7">
            <v>0.24</v>
          </cell>
          <cell r="AB7">
            <v>3.2657572919999986</v>
          </cell>
          <cell r="AD7">
            <v>0.06</v>
          </cell>
          <cell r="AE7">
            <v>2.3652241982705022</v>
          </cell>
        </row>
        <row r="8">
          <cell r="P8">
            <v>0.15</v>
          </cell>
          <cell r="R8">
            <v>3.4723393000000016</v>
          </cell>
          <cell r="S8">
            <v>3.1173393000000016</v>
          </cell>
          <cell r="T8">
            <v>0.06</v>
          </cell>
          <cell r="U8">
            <v>2.5557535233333337</v>
          </cell>
          <cell r="V8">
            <v>1.2090205233333338</v>
          </cell>
          <cell r="Z8">
            <v>0.39</v>
          </cell>
          <cell r="AB8">
            <v>5.3780210000000004</v>
          </cell>
          <cell r="AD8">
            <v>0.12</v>
          </cell>
          <cell r="AE8">
            <v>3.1940193854000003</v>
          </cell>
        </row>
        <row r="9">
          <cell r="P9">
            <v>0.24</v>
          </cell>
          <cell r="R9">
            <v>5.2010115150000011</v>
          </cell>
          <cell r="S9">
            <v>4.8460115150000007</v>
          </cell>
          <cell r="T9">
            <v>0.09</v>
          </cell>
          <cell r="U9">
            <v>2.9578083533333319</v>
          </cell>
          <cell r="V9">
            <v>1.611075353333332</v>
          </cell>
          <cell r="Z9">
            <v>0.54</v>
          </cell>
          <cell r="AB9">
            <v>6.9949019999999997</v>
          </cell>
          <cell r="AD9">
            <v>0.24</v>
          </cell>
          <cell r="AE9">
            <v>4.1701295566666658</v>
          </cell>
        </row>
        <row r="10">
          <cell r="P10">
            <v>0.3</v>
          </cell>
          <cell r="R10">
            <v>6.949722111999999</v>
          </cell>
          <cell r="S10">
            <v>6.5947221119999995</v>
          </cell>
          <cell r="T10">
            <v>0.15</v>
          </cell>
          <cell r="U10">
            <v>4.295951043333333</v>
          </cell>
          <cell r="V10">
            <v>2.949218043333333</v>
          </cell>
          <cell r="Z10">
            <v>0.6</v>
          </cell>
          <cell r="AB10">
            <v>8.6756919999999997</v>
          </cell>
          <cell r="AD10">
            <v>0.3</v>
          </cell>
          <cell r="AE10">
            <v>5.8683244533333339</v>
          </cell>
        </row>
        <row r="11">
          <cell r="T11">
            <v>0.24</v>
          </cell>
          <cell r="U11">
            <v>5.7997187033333333</v>
          </cell>
          <cell r="V11">
            <v>4.4529857033333329</v>
          </cell>
          <cell r="AD11">
            <v>0.45</v>
          </cell>
          <cell r="AE11">
            <v>7.6495069190000002</v>
          </cell>
        </row>
        <row r="12">
          <cell r="T12">
            <v>0.3</v>
          </cell>
          <cell r="U12">
            <v>7.7103134466666683</v>
          </cell>
          <cell r="V12">
            <v>6.3635804466666688</v>
          </cell>
          <cell r="AD12">
            <v>0.6</v>
          </cell>
          <cell r="AE12">
            <v>9.5363632700000025</v>
          </cell>
        </row>
        <row r="56">
          <cell r="E56">
            <v>0</v>
          </cell>
          <cell r="F56">
            <v>1.346733</v>
          </cell>
          <cell r="G56">
            <v>0</v>
          </cell>
          <cell r="H56">
            <v>0.33</v>
          </cell>
        </row>
        <row r="57">
          <cell r="E57">
            <v>8.9999999999999993E-3</v>
          </cell>
          <cell r="F57">
            <v>1.501973349933948</v>
          </cell>
          <cell r="G57">
            <v>0.03</v>
          </cell>
          <cell r="H57">
            <v>0.96093342518433011</v>
          </cell>
        </row>
        <row r="58">
          <cell r="E58">
            <v>2.8700000000000003E-2</v>
          </cell>
          <cell r="F58">
            <v>2.1689572733019062</v>
          </cell>
          <cell r="G58">
            <v>0.09</v>
          </cell>
          <cell r="H58">
            <v>3.0699526249999982</v>
          </cell>
        </row>
        <row r="59">
          <cell r="E59">
            <v>4.2350000000000006E-2</v>
          </cell>
          <cell r="F59">
            <v>2.5521958597169974</v>
          </cell>
          <cell r="G59">
            <v>0.15</v>
          </cell>
          <cell r="H59">
            <v>4.7134598773616645</v>
          </cell>
        </row>
        <row r="60">
          <cell r="E60">
            <v>5.5024875621890554E-2</v>
          </cell>
          <cell r="F60">
            <v>2.9010495749029461</v>
          </cell>
          <cell r="G60">
            <v>0.24</v>
          </cell>
          <cell r="H60">
            <v>8.7091135512552302</v>
          </cell>
        </row>
        <row r="61">
          <cell r="E61">
            <v>6.8950000000000011E-2</v>
          </cell>
          <cell r="F61">
            <v>3.2101067674293811</v>
          </cell>
          <cell r="G61">
            <v>1.4999999999999999E-2</v>
          </cell>
          <cell r="H61">
            <v>0.79611371499999928</v>
          </cell>
        </row>
        <row r="62">
          <cell r="E62">
            <v>9.4500000000000001E-2</v>
          </cell>
          <cell r="F62">
            <v>3.8376194285714256</v>
          </cell>
        </row>
        <row r="63">
          <cell r="E63">
            <v>0.1575</v>
          </cell>
          <cell r="F63">
            <v>6.4598465047638811</v>
          </cell>
        </row>
        <row r="64">
          <cell r="E64">
            <v>0.252</v>
          </cell>
          <cell r="F64">
            <v>9.4272762267992505</v>
          </cell>
        </row>
        <row r="65">
          <cell r="E65">
            <v>0.24</v>
          </cell>
          <cell r="F65">
            <v>8.3698891</v>
          </cell>
        </row>
        <row r="66">
          <cell r="E66">
            <v>0.3</v>
          </cell>
          <cell r="F66">
            <v>11.66295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mgMWCNT"/>
      <sheetName val="40mgMWCNT"/>
      <sheetName val="20mgMWCNTSolution"/>
      <sheetName val="20mgSWCNTSolution"/>
      <sheetName val="lowMWCNT"/>
      <sheetName val="40mgMWCNTCTAB Solution"/>
      <sheetName val="MWCNT"/>
      <sheetName val="SWCNT"/>
      <sheetName val="COOH"/>
      <sheetName val="mixture"/>
      <sheetName val="Plot"/>
      <sheetName val="IC"/>
      <sheetName val="Other carbon"/>
      <sheetName val="HA"/>
      <sheetName val="MW Energy"/>
      <sheetName val="Controls"/>
      <sheetName val="Mass"/>
      <sheetName val="MD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M1" t="str">
            <v>MWCNT+Soil</v>
          </cell>
          <cell r="O1" t="str">
            <v>SWCNT+Soil</v>
          </cell>
          <cell r="Q1" t="str">
            <v>MWCNT-COOH+Soil</v>
          </cell>
        </row>
        <row r="2">
          <cell r="J2">
            <v>0</v>
          </cell>
          <cell r="K2">
            <v>1.2940814149018907</v>
          </cell>
          <cell r="L2">
            <v>8.4759139999999997E-2</v>
          </cell>
          <cell r="M2">
            <v>3.7036804057500001</v>
          </cell>
          <cell r="N2">
            <v>0.108745861</v>
          </cell>
          <cell r="O2">
            <v>3.1195788430000002</v>
          </cell>
          <cell r="P2">
            <v>2.1393809457122701E-2</v>
          </cell>
          <cell r="Q2">
            <v>2.6560828700000001</v>
          </cell>
          <cell r="R2">
            <v>0.102139380945712</v>
          </cell>
        </row>
        <row r="3">
          <cell r="J3">
            <v>0.67924528301886788</v>
          </cell>
          <cell r="K3">
            <v>1.2807083145574367</v>
          </cell>
          <cell r="L3">
            <v>0.10543297920624285</v>
          </cell>
          <cell r="M3">
            <v>3.7618756891148841</v>
          </cell>
          <cell r="N3">
            <v>9.355022715118174E-3</v>
          </cell>
          <cell r="O3">
            <v>3.0262137806035998</v>
          </cell>
          <cell r="P3">
            <v>7.7283177932335453E-2</v>
          </cell>
          <cell r="Q3">
            <v>2.7258920699999987</v>
          </cell>
          <cell r="R3">
            <v>1.7204332250339203E-2</v>
          </cell>
        </row>
        <row r="4">
          <cell r="J4">
            <v>2.0377358490566038</v>
          </cell>
          <cell r="K4">
            <v>1.3225307149999992</v>
          </cell>
          <cell r="L4">
            <v>3.0613813324877056E-2</v>
          </cell>
          <cell r="M4">
            <v>3.710838390000001</v>
          </cell>
          <cell r="N4">
            <v>0.11417244488099849</v>
          </cell>
          <cell r="O4">
            <v>3.1326726469999997</v>
          </cell>
          <cell r="P4">
            <v>0.10900272073570223</v>
          </cell>
          <cell r="Q4">
            <v>2.5321654250000005</v>
          </cell>
          <cell r="R4">
            <v>1.7780694987674674E-3</v>
          </cell>
        </row>
        <row r="5">
          <cell r="J5">
            <v>4.0754716981132075</v>
          </cell>
          <cell r="K5">
            <v>1.3214746550000012</v>
          </cell>
          <cell r="L5">
            <v>5.8712497326549339E-2</v>
          </cell>
          <cell r="M5">
            <v>3.7317093133333352</v>
          </cell>
          <cell r="N5">
            <v>0.11933538554304808</v>
          </cell>
          <cell r="O5">
            <v>3.1828639150000004</v>
          </cell>
          <cell r="P5">
            <v>7.5320484001906302E-2</v>
          </cell>
          <cell r="Q5">
            <v>2.61494246</v>
          </cell>
          <cell r="R5">
            <v>8.9972889092142808E-2</v>
          </cell>
        </row>
        <row r="6">
          <cell r="J6">
            <v>6.7924528301886795</v>
          </cell>
          <cell r="K6">
            <v>1.2821310649999997</v>
          </cell>
          <cell r="L6">
            <v>1.1106504998893735E-2</v>
          </cell>
          <cell r="M6">
            <v>3.7022175162941533</v>
          </cell>
          <cell r="N6">
            <v>0.12286740645926789</v>
          </cell>
          <cell r="O6">
            <v>3.149459499999999</v>
          </cell>
          <cell r="P6">
            <v>1.0434859622782729E-2</v>
          </cell>
          <cell r="Q6">
            <v>2.69466596</v>
          </cell>
          <cell r="R6">
            <v>0.1724547737972103</v>
          </cell>
        </row>
      </sheetData>
      <sheetData sheetId="12">
        <row r="65">
          <cell r="L65">
            <v>8.9747149999999998E-2</v>
          </cell>
          <cell r="M65">
            <v>1.2940814149018907</v>
          </cell>
          <cell r="N65">
            <v>0</v>
          </cell>
          <cell r="O65">
            <v>3.6368040575</v>
          </cell>
          <cell r="Q65">
            <v>3.8191999999999997E-2</v>
          </cell>
          <cell r="R65">
            <v>3.1195788430000002</v>
          </cell>
          <cell r="T65">
            <v>1.3873E-2</v>
          </cell>
          <cell r="U65">
            <v>2.6560828700000001</v>
          </cell>
          <cell r="W65">
            <v>3.2813000000000002E-2</v>
          </cell>
        </row>
        <row r="66">
          <cell r="L66">
            <v>6.0368546000000002E-2</v>
          </cell>
          <cell r="M66">
            <v>1.3268343700000003</v>
          </cell>
          <cell r="N66">
            <v>11</v>
          </cell>
          <cell r="O66">
            <v>3.6280357250000002</v>
          </cell>
          <cell r="Q66">
            <v>0.22123322694981734</v>
          </cell>
          <cell r="R66">
            <v>3.1516969550000002</v>
          </cell>
          <cell r="T66">
            <v>5.6407859549968853E-2</v>
          </cell>
          <cell r="U66">
            <v>2.733601675000001</v>
          </cell>
          <cell r="W66">
            <v>0.16520760104149118</v>
          </cell>
        </row>
        <row r="67">
          <cell r="L67">
            <v>5.5487509999999997E-2</v>
          </cell>
          <cell r="M67">
            <v>1.3696133350000004</v>
          </cell>
          <cell r="N67">
            <v>33</v>
          </cell>
          <cell r="O67">
            <v>3.6043857099999994</v>
          </cell>
          <cell r="Q67">
            <v>1.3026957519122917E-2</v>
          </cell>
          <cell r="R67">
            <v>3.244439439999999</v>
          </cell>
          <cell r="T67">
            <v>5.6407859549968853E-2</v>
          </cell>
          <cell r="U67">
            <v>2.5994983999999999</v>
          </cell>
          <cell r="W67">
            <v>0.10221403884533231</v>
          </cell>
        </row>
        <row r="68">
          <cell r="L68">
            <v>8.7954000000000004E-2</v>
          </cell>
          <cell r="M68">
            <v>1.2464679899999993</v>
          </cell>
          <cell r="N68">
            <v>67</v>
          </cell>
          <cell r="O68">
            <v>3.5788410350000004</v>
          </cell>
          <cell r="Q68">
            <v>7.0710678118655765E-2</v>
          </cell>
          <cell r="R68">
            <v>3.0837022100000002</v>
          </cell>
          <cell r="T68">
            <v>2.348887104735083E-2</v>
          </cell>
          <cell r="U68">
            <v>2.7070190599999986</v>
          </cell>
          <cell r="W68">
            <v>0.10015454791871965</v>
          </cell>
        </row>
        <row r="76">
          <cell r="L76">
            <v>1.2940814149018907</v>
          </cell>
          <cell r="M76">
            <v>7.1589739999999999E-2</v>
          </cell>
          <cell r="N76">
            <v>0</v>
          </cell>
          <cell r="O76">
            <v>3.6351805750000001</v>
          </cell>
          <cell r="Q76">
            <v>2.7183200000000001E-2</v>
          </cell>
          <cell r="R76">
            <v>3.1205488429999999</v>
          </cell>
          <cell r="T76">
            <v>2.7182999999999999E-2</v>
          </cell>
          <cell r="U76">
            <v>2.6632428699999999</v>
          </cell>
          <cell r="W76">
            <v>9.3812900000000005E-2</v>
          </cell>
        </row>
        <row r="77">
          <cell r="L77">
            <v>1.3198960150000012</v>
          </cell>
          <cell r="M77">
            <v>1.6495450631129869E-2</v>
          </cell>
          <cell r="N77">
            <v>1</v>
          </cell>
          <cell r="O77">
            <v>3.66996535</v>
          </cell>
          <cell r="Q77">
            <v>1.9756563466362867E-4</v>
          </cell>
          <cell r="R77">
            <v>3.1423634050000011</v>
          </cell>
          <cell r="T77">
            <v>6.3420004153756149E-2</v>
          </cell>
          <cell r="U77">
            <v>2.5795579250000014</v>
          </cell>
          <cell r="W77">
            <v>0.14163457014504127</v>
          </cell>
        </row>
        <row r="78">
          <cell r="L78">
            <v>1.3386846850000023</v>
          </cell>
          <cell r="M78">
            <v>1.1524532385796087E-2</v>
          </cell>
          <cell r="N78">
            <v>2</v>
          </cell>
          <cell r="O78">
            <v>3.6732684800000008</v>
          </cell>
          <cell r="Q78">
            <v>0.15910435735210335</v>
          </cell>
          <cell r="R78">
            <v>3.0757756250000003</v>
          </cell>
          <cell r="T78">
            <v>1.4893599213301743E-2</v>
          </cell>
          <cell r="U78">
            <v>2.490426394</v>
          </cell>
          <cell r="W78">
            <v>0.10430437942659537</v>
          </cell>
        </row>
        <row r="79">
          <cell r="L79">
            <v>1.3532028250000003</v>
          </cell>
          <cell r="M79">
            <v>3.3768499518465431E-2</v>
          </cell>
          <cell r="N79">
            <v>3</v>
          </cell>
          <cell r="O79">
            <v>3.4648714799999993</v>
          </cell>
          <cell r="Q79">
            <v>7.0710678118655765E-2</v>
          </cell>
          <cell r="R79">
            <v>3.0550579249999981</v>
          </cell>
          <cell r="T79">
            <v>0.14488726133849683</v>
          </cell>
          <cell r="U79">
            <v>2.590337980000001</v>
          </cell>
          <cell r="W79">
            <v>0.12717643557186672</v>
          </cell>
        </row>
      </sheetData>
      <sheetData sheetId="13">
        <row r="2">
          <cell r="V2" t="str">
            <v>MWCNT+Soil</v>
          </cell>
          <cell r="X2" t="str">
            <v>SWCNT+Soil</v>
          </cell>
          <cell r="Z2" t="str">
            <v>MWCNT-COOH+Soil</v>
          </cell>
        </row>
        <row r="3">
          <cell r="M3">
            <v>2.4866166564680849E-2</v>
          </cell>
          <cell r="S3">
            <v>1.1499999999999999</v>
          </cell>
          <cell r="T3">
            <v>1.3474816000000001</v>
          </cell>
          <cell r="V3">
            <v>3.6434417349999992</v>
          </cell>
          <cell r="W3">
            <v>7.0516435885886212E-3</v>
          </cell>
          <cell r="X3">
            <v>3.0322072930000008</v>
          </cell>
          <cell r="Y3">
            <v>2.8376849909894752E-2</v>
          </cell>
          <cell r="Z3">
            <v>2.62201203</v>
          </cell>
          <cell r="AA3">
            <v>0.10016396658104371</v>
          </cell>
        </row>
        <row r="4">
          <cell r="M4">
            <v>9.2905033719790295E-2</v>
          </cell>
          <cell r="S4">
            <v>3.601</v>
          </cell>
          <cell r="T4">
            <v>1.625501333333333</v>
          </cell>
          <cell r="V4">
            <v>3.4015996499999988</v>
          </cell>
          <cell r="W4">
            <v>0.11348327032778069</v>
          </cell>
          <cell r="X4">
            <v>2.6743082350000007</v>
          </cell>
          <cell r="Y4">
            <v>0.13713447187889158</v>
          </cell>
          <cell r="Z4">
            <v>2.2868504500000015</v>
          </cell>
          <cell r="AA4">
            <v>2.1179686574167945E-2</v>
          </cell>
        </row>
        <row r="5">
          <cell r="M5">
            <v>5.1029874072841389E-2</v>
          </cell>
          <cell r="S5">
            <v>5.282</v>
          </cell>
          <cell r="T5">
            <v>1.7241419400000004</v>
          </cell>
          <cell r="V5">
            <v>2.9669262549999993</v>
          </cell>
          <cell r="W5">
            <v>0.12289850318529734</v>
          </cell>
          <cell r="X5">
            <v>2.5667724200000004</v>
          </cell>
          <cell r="Y5">
            <v>6.5675992983792425E-2</v>
          </cell>
          <cell r="Z5">
            <v>2.3000031199999995</v>
          </cell>
          <cell r="AA5">
            <v>6.0578262208325455E-3</v>
          </cell>
        </row>
        <row r="6">
          <cell r="M6">
            <v>2.8935990354478986E-2</v>
          </cell>
          <cell r="S6">
            <v>6.3570000000000002</v>
          </cell>
          <cell r="T6">
            <v>1.745796695000001</v>
          </cell>
          <cell r="V6">
            <v>2.9393019300000001</v>
          </cell>
          <cell r="W6">
            <v>0.10467356836233303</v>
          </cell>
          <cell r="X6">
            <v>2.5389688849999992</v>
          </cell>
          <cell r="Y6">
            <v>2.0631742458357995E-2</v>
          </cell>
          <cell r="Z6">
            <v>2.2850211849999988</v>
          </cell>
          <cell r="AA6">
            <v>5.3029918532358597E-2</v>
          </cell>
        </row>
        <row r="7">
          <cell r="M7">
            <v>8.3834579977673973E-4</v>
          </cell>
          <cell r="S7">
            <v>7.75</v>
          </cell>
          <cell r="T7">
            <v>1.80173904</v>
          </cell>
          <cell r="V7">
            <v>2.8164607050000012</v>
          </cell>
          <cell r="W7">
            <v>0.12289850318529734</v>
          </cell>
          <cell r="X7">
            <v>2.4743082350000014</v>
          </cell>
          <cell r="Y7">
            <v>1.9239930038813819E-2</v>
          </cell>
          <cell r="Z7">
            <v>2.0505873835000008</v>
          </cell>
          <cell r="AA7">
            <v>0.19361364809748813</v>
          </cell>
        </row>
        <row r="78">
          <cell r="Q78">
            <v>1.1499999999999999</v>
          </cell>
          <cell r="R78">
            <v>3.4112485290620818</v>
          </cell>
          <cell r="S78">
            <v>9.2486616656467999E-2</v>
          </cell>
          <cell r="T78">
            <v>5.70267473</v>
          </cell>
          <cell r="U78">
            <v>0.36470197551671579</v>
          </cell>
          <cell r="V78">
            <v>4.4045430100000011</v>
          </cell>
          <cell r="W78">
            <v>2.8376849909894752E-2</v>
          </cell>
          <cell r="X78">
            <v>3.8816805686949798</v>
          </cell>
          <cell r="Y78">
            <v>0.10016396658104371</v>
          </cell>
        </row>
        <row r="79">
          <cell r="Q79">
            <v>3.601</v>
          </cell>
          <cell r="R79">
            <v>3.7472697345775288</v>
          </cell>
          <cell r="S79">
            <v>9.2905033719790295E-2</v>
          </cell>
          <cell r="T79">
            <v>6.0444235699999975</v>
          </cell>
          <cell r="U79">
            <v>0.11346723314598318</v>
          </cell>
          <cell r="V79">
            <v>4.9830565699999987</v>
          </cell>
          <cell r="W79">
            <v>3.9678391929602513E-2</v>
          </cell>
          <cell r="X79">
            <v>4.2914601289999998</v>
          </cell>
          <cell r="Y79">
            <v>6.0578262208325455E-3</v>
          </cell>
        </row>
        <row r="80">
          <cell r="Q80">
            <v>7.75</v>
          </cell>
          <cell r="R80">
            <v>4.0472697345775259</v>
          </cell>
          <cell r="S80">
            <v>8.3834579977673973E-4</v>
          </cell>
          <cell r="T80">
            <v>6.2071315250000012</v>
          </cell>
          <cell r="U80">
            <v>0.10389915208664501</v>
          </cell>
          <cell r="V80">
            <v>5.1935672099999994</v>
          </cell>
          <cell r="W80">
            <v>0.12545273551350147</v>
          </cell>
          <cell r="X80">
            <v>4.7017252450000004</v>
          </cell>
          <cell r="Y80">
            <v>8.8852499610557384E-2</v>
          </cell>
        </row>
        <row r="81">
          <cell r="T81">
            <v>2.2914262009379183</v>
          </cell>
          <cell r="V81">
            <v>0.99329448093791939</v>
          </cell>
          <cell r="X81">
            <v>0.47043203963289804</v>
          </cell>
        </row>
        <row r="82">
          <cell r="T82">
            <v>2.2971538354224688</v>
          </cell>
          <cell r="V82">
            <v>1.2357868354224699</v>
          </cell>
          <cell r="X82">
            <v>0.54419039442247108</v>
          </cell>
        </row>
        <row r="83">
          <cell r="T83">
            <v>2.1598617904224753</v>
          </cell>
          <cell r="V83">
            <v>1.1462974754224735</v>
          </cell>
          <cell r="X83">
            <v>0.65445551042247452</v>
          </cell>
        </row>
      </sheetData>
      <sheetData sheetId="14">
        <row r="7">
          <cell r="B7">
            <v>1400</v>
          </cell>
          <cell r="E7">
            <v>2.7183444900000033</v>
          </cell>
          <cell r="F7" t="str">
            <v>70W,20s</v>
          </cell>
        </row>
        <row r="8">
          <cell r="B8">
            <v>2100</v>
          </cell>
          <cell r="E8">
            <v>2.7213247200000019</v>
          </cell>
          <cell r="F8" t="str">
            <v>70W, 30s</v>
          </cell>
        </row>
        <row r="9">
          <cell r="B9">
            <v>2250</v>
          </cell>
          <cell r="E9">
            <v>2.724770620000001</v>
          </cell>
          <cell r="F9" t="str">
            <v>75W,30s</v>
          </cell>
        </row>
        <row r="10">
          <cell r="B10">
            <v>2610</v>
          </cell>
          <cell r="E10">
            <v>3.2404439600000003</v>
          </cell>
          <cell r="F10" t="str">
            <v>87W,30s</v>
          </cell>
        </row>
        <row r="11">
          <cell r="B11">
            <v>1395</v>
          </cell>
          <cell r="E11">
            <v>2.9306379499999999</v>
          </cell>
          <cell r="F11" t="str">
            <v>93W,15s</v>
          </cell>
        </row>
        <row r="12">
          <cell r="B12">
            <v>2000</v>
          </cell>
          <cell r="E12">
            <v>3.1063335000000016</v>
          </cell>
          <cell r="F12" t="str">
            <v>100W,20s</v>
          </cell>
        </row>
        <row r="13">
          <cell r="B13">
            <v>3000</v>
          </cell>
          <cell r="E13">
            <v>3.7493186499999993</v>
          </cell>
          <cell r="F13" t="str">
            <v>100W,30s</v>
          </cell>
        </row>
        <row r="14">
          <cell r="B14">
            <v>2600</v>
          </cell>
          <cell r="E14">
            <v>4.4463204999999988</v>
          </cell>
          <cell r="F14" t="str">
            <v>130W,20s</v>
          </cell>
        </row>
        <row r="15">
          <cell r="B15">
            <v>1995</v>
          </cell>
          <cell r="E15">
            <v>3.5974199300000009</v>
          </cell>
          <cell r="F15" t="str">
            <v>133W,15</v>
          </cell>
        </row>
        <row r="16">
          <cell r="B16">
            <v>2235</v>
          </cell>
          <cell r="E16">
            <v>4.44240894</v>
          </cell>
          <cell r="F16" t="str">
            <v>149W,15s</v>
          </cell>
        </row>
        <row r="17">
          <cell r="B17">
            <v>2980</v>
          </cell>
          <cell r="E17">
            <v>4.9327503058511262</v>
          </cell>
          <cell r="F17" t="str">
            <v>149W,20s</v>
          </cell>
        </row>
      </sheetData>
      <sheetData sheetId="15">
        <row r="53">
          <cell r="F53">
            <v>0</v>
          </cell>
          <cell r="M53">
            <v>22.883602849999999</v>
          </cell>
          <cell r="O53">
            <v>22.582366545285545</v>
          </cell>
          <cell r="P53">
            <v>0.4260124676063326</v>
          </cell>
          <cell r="S53">
            <v>22.883602849999999</v>
          </cell>
          <cell r="T53">
            <v>0.18745149999999999</v>
          </cell>
          <cell r="W53">
            <v>22.883600000000001</v>
          </cell>
          <cell r="X53">
            <v>0.10254681</v>
          </cell>
          <cell r="AC53">
            <v>22.883600000000001</v>
          </cell>
          <cell r="AD53">
            <v>22.883600000000001</v>
          </cell>
          <cell r="AE53">
            <v>0.10571</v>
          </cell>
          <cell r="AF53">
            <v>2.5845999999999998E-3</v>
          </cell>
          <cell r="AJ53">
            <v>22.883600000000001</v>
          </cell>
          <cell r="AK53">
            <v>0.28491</v>
          </cell>
          <cell r="AM53">
            <v>22.883600000000001</v>
          </cell>
          <cell r="AN53">
            <v>0.102587</v>
          </cell>
          <cell r="AQ53">
            <v>22.883600000000001</v>
          </cell>
          <cell r="AT53">
            <v>0</v>
          </cell>
          <cell r="AU53">
            <v>22.883600000000001</v>
          </cell>
          <cell r="AV53">
            <v>22.883600000000001</v>
          </cell>
          <cell r="AY53">
            <v>0</v>
          </cell>
          <cell r="AZ53">
            <v>22.883600000000001</v>
          </cell>
          <cell r="BA53">
            <v>22.883600000000001</v>
          </cell>
          <cell r="BD53">
            <v>0</v>
          </cell>
          <cell r="BE53">
            <v>22.883600000000001</v>
          </cell>
        </row>
        <row r="54">
          <cell r="F54">
            <v>5</v>
          </cell>
          <cell r="M54">
            <v>22.877456120641181</v>
          </cell>
          <cell r="O54">
            <v>22.710795935980013</v>
          </cell>
          <cell r="P54">
            <v>0.2356930934554288</v>
          </cell>
          <cell r="S54">
            <v>24.312531161403292</v>
          </cell>
          <cell r="T54">
            <v>0.21035870000000001</v>
          </cell>
          <cell r="W54">
            <v>23.836156786093486</v>
          </cell>
          <cell r="X54">
            <v>0.1126587</v>
          </cell>
          <cell r="AC54">
            <v>22.893472019879354</v>
          </cell>
          <cell r="AD54">
            <v>22.883472019879353</v>
          </cell>
          <cell r="AE54">
            <v>5.8471000000000002E-2</v>
          </cell>
          <cell r="AF54">
            <v>8.574E-3</v>
          </cell>
          <cell r="AJ54">
            <v>23.216547840270273</v>
          </cell>
          <cell r="AK54">
            <v>0.21259700000000001</v>
          </cell>
          <cell r="AM54">
            <v>22.907348727068232</v>
          </cell>
          <cell r="AN54">
            <v>0.1125854</v>
          </cell>
          <cell r="AQ54">
            <v>26.462091000000001</v>
          </cell>
          <cell r="AT54">
            <v>0.45177944616984922</v>
          </cell>
          <cell r="AU54">
            <v>26.579267636666668</v>
          </cell>
          <cell r="AV54">
            <v>25.258500000000002</v>
          </cell>
          <cell r="AY54">
            <v>0.26187862990456906</v>
          </cell>
          <cell r="AZ54">
            <v>25.395492811666667</v>
          </cell>
          <cell r="BA54">
            <v>24.663081000000002</v>
          </cell>
          <cell r="BD54">
            <v>0.10127758275533449</v>
          </cell>
          <cell r="BE54">
            <v>24.604608360333334</v>
          </cell>
        </row>
        <row r="55">
          <cell r="F55">
            <v>10</v>
          </cell>
          <cell r="M55">
            <v>22.877456120641181</v>
          </cell>
          <cell r="O55">
            <v>22.713822734527923</v>
          </cell>
          <cell r="P55">
            <v>0.23141255389840235</v>
          </cell>
          <cell r="S55">
            <v>24.964411971180141</v>
          </cell>
          <cell r="T55">
            <v>0.19841064999999999</v>
          </cell>
          <cell r="W55">
            <v>24.171060403887033</v>
          </cell>
          <cell r="X55">
            <v>0.13658200000000001</v>
          </cell>
          <cell r="AC55">
            <v>22.891888771408144</v>
          </cell>
          <cell r="AD55">
            <v>22.791888771408143</v>
          </cell>
          <cell r="AE55">
            <v>1.25681E-2</v>
          </cell>
          <cell r="AF55">
            <v>1.2567999999999999E-2</v>
          </cell>
          <cell r="AJ55">
            <v>23.463907130831888</v>
          </cell>
          <cell r="AK55">
            <v>0.136821</v>
          </cell>
          <cell r="AM55">
            <v>23.225302272993453</v>
          </cell>
          <cell r="AN55">
            <v>9.6528736399999995E-2</v>
          </cell>
          <cell r="AQ55">
            <v>27.732600000000001</v>
          </cell>
          <cell r="AT55">
            <v>0.29087844992411155</v>
          </cell>
          <cell r="AU55">
            <v>27.984544313333334</v>
          </cell>
          <cell r="AV55">
            <v>26.162015</v>
          </cell>
          <cell r="AY55">
            <v>0.35251279224400472</v>
          </cell>
          <cell r="AZ55">
            <v>26.083249134333332</v>
          </cell>
          <cell r="BA55">
            <v>25.341540999999999</v>
          </cell>
          <cell r="BD55">
            <v>0.19395219342233105</v>
          </cell>
          <cell r="BE55">
            <v>25.299474333333336</v>
          </cell>
        </row>
        <row r="56">
          <cell r="F56">
            <v>15</v>
          </cell>
          <cell r="M56">
            <v>22.956711676464941</v>
          </cell>
          <cell r="O56">
            <v>22.74874733315766</v>
          </cell>
          <cell r="P56">
            <v>0.29410599479517224</v>
          </cell>
          <cell r="S56">
            <v>25.340338816011052</v>
          </cell>
          <cell r="T56">
            <v>0.25620169999999998</v>
          </cell>
          <cell r="W56">
            <v>24.411434774722728</v>
          </cell>
          <cell r="X56">
            <v>0.12548400000000001</v>
          </cell>
          <cell r="AC56">
            <v>22.896079723243716</v>
          </cell>
          <cell r="AD56">
            <v>22.896079723243716</v>
          </cell>
          <cell r="AE56">
            <v>8.4909999999999999E-2</v>
          </cell>
          <cell r="AF56">
            <v>8.9511999999999994E-3</v>
          </cell>
          <cell r="AJ56">
            <v>23.739671761612396</v>
          </cell>
          <cell r="AK56">
            <v>0.1984157</v>
          </cell>
          <cell r="AM56">
            <v>23.41813108874145</v>
          </cell>
          <cell r="AN56">
            <v>0.152697</v>
          </cell>
          <cell r="AQ56">
            <v>28.522311999999999</v>
          </cell>
          <cell r="AT56">
            <v>0.34338631176404172</v>
          </cell>
          <cell r="AU56">
            <v>28.421052208000003</v>
          </cell>
          <cell r="AV56">
            <v>27.371002000000001</v>
          </cell>
          <cell r="AY56">
            <v>0.33274342406756446</v>
          </cell>
          <cell r="AZ56">
            <v>27.363307603406668</v>
          </cell>
          <cell r="BA56">
            <v>26.171091000000001</v>
          </cell>
          <cell r="BD56">
            <v>0.1242153982639435</v>
          </cell>
          <cell r="BE56">
            <v>26.314463700000001</v>
          </cell>
        </row>
        <row r="57">
          <cell r="F57">
            <v>20</v>
          </cell>
          <cell r="M57">
            <v>22.880156956268536</v>
          </cell>
          <cell r="O57">
            <v>22.711308163426573</v>
          </cell>
          <cell r="P57">
            <v>0.23878825282742966</v>
          </cell>
          <cell r="S57">
            <v>25.674404243437468</v>
          </cell>
          <cell r="T57">
            <v>0.24415832000000001</v>
          </cell>
          <cell r="W57">
            <v>24.519561332080414</v>
          </cell>
          <cell r="X57">
            <v>0.20154810000000001</v>
          </cell>
          <cell r="AC57">
            <v>22.8827618096329</v>
          </cell>
          <cell r="AD57">
            <v>22.922761809632899</v>
          </cell>
          <cell r="AE57">
            <v>8.9510000000000006E-2</v>
          </cell>
          <cell r="AF57">
            <v>6.2574125899999998E-3</v>
          </cell>
          <cell r="AJ57">
            <v>24.081001505553804</v>
          </cell>
          <cell r="AK57">
            <v>0.23583999999999999</v>
          </cell>
          <cell r="AM57">
            <v>23.563186123203398</v>
          </cell>
          <cell r="AN57">
            <v>0.13250677999999999</v>
          </cell>
          <cell r="AQ57">
            <v>29.261703400000002</v>
          </cell>
          <cell r="AT57">
            <v>0.20217878790533295</v>
          </cell>
          <cell r="AU57">
            <v>29.277513167799999</v>
          </cell>
          <cell r="AV57">
            <v>27.880324000000002</v>
          </cell>
          <cell r="AY57">
            <v>0.39758598393271877</v>
          </cell>
          <cell r="AZ57">
            <v>27.823376945213337</v>
          </cell>
          <cell r="BA57">
            <v>26.754240000000003</v>
          </cell>
          <cell r="BD57">
            <v>0.27960455897894443</v>
          </cell>
          <cell r="BE57">
            <v>26.690221713333333</v>
          </cell>
        </row>
        <row r="58">
          <cell r="F58">
            <v>25</v>
          </cell>
          <cell r="M58">
            <v>22.875034681802841</v>
          </cell>
          <cell r="O58">
            <v>22.708514195536196</v>
          </cell>
          <cell r="P58">
            <v>0.23549553009125454</v>
          </cell>
          <cell r="S58">
            <v>25.777198211327843</v>
          </cell>
          <cell r="T58">
            <v>0.21058099999999999</v>
          </cell>
          <cell r="W58">
            <v>24.574229970468842</v>
          </cell>
          <cell r="X58">
            <v>0.19562099999999999</v>
          </cell>
          <cell r="AC58">
            <v>22.889467332569804</v>
          </cell>
          <cell r="AD58">
            <v>22.909467332569804</v>
          </cell>
          <cell r="AE58">
            <v>3.5217999999999999E-2</v>
          </cell>
          <cell r="AF58">
            <v>2.5847999999999999E-3</v>
          </cell>
          <cell r="AJ58">
            <v>24.077835008611384</v>
          </cell>
          <cell r="AK58">
            <v>0.240284</v>
          </cell>
          <cell r="AM58">
            <v>23.559647097208913</v>
          </cell>
          <cell r="AN58" t="str">
            <v>0.1633524.</v>
          </cell>
          <cell r="AQ58">
            <v>30.165313400000002</v>
          </cell>
          <cell r="AT58">
            <v>0.24106118483873298</v>
          </cell>
          <cell r="AU58">
            <v>29.915322266666667</v>
          </cell>
          <cell r="AV58">
            <v>28.491446100000001</v>
          </cell>
          <cell r="AY58">
            <v>0.19384397418888891</v>
          </cell>
          <cell r="AZ58">
            <v>28.447091674000003</v>
          </cell>
          <cell r="BA58">
            <v>26.962019700000003</v>
          </cell>
          <cell r="BD58">
            <v>0.17149462338575161</v>
          </cell>
          <cell r="BE58">
            <v>27.119245200656668</v>
          </cell>
        </row>
        <row r="59">
          <cell r="F59">
            <v>30</v>
          </cell>
          <cell r="M59">
            <v>22.874010226909689</v>
          </cell>
          <cell r="O59">
            <v>22.706558418012932</v>
          </cell>
          <cell r="P59">
            <v>0.23681261918570448</v>
          </cell>
          <cell r="S59">
            <v>26.020483732792535</v>
          </cell>
          <cell r="T59">
            <v>0.15418699999999999</v>
          </cell>
          <cell r="W59">
            <v>24.515836041559908</v>
          </cell>
          <cell r="X59">
            <v>0.2369521</v>
          </cell>
          <cell r="AC59">
            <v>22.888815406728721</v>
          </cell>
          <cell r="AD59">
            <v>22.941815406728718</v>
          </cell>
          <cell r="AE59">
            <v>2.6700000000000002E-2</v>
          </cell>
          <cell r="AF59">
            <v>2.5894123000000002E-2</v>
          </cell>
          <cell r="AJ59">
            <v>24.213645898559427</v>
          </cell>
          <cell r="AK59">
            <v>0.18287410000000001</v>
          </cell>
          <cell r="AM59">
            <v>23.577411922896648</v>
          </cell>
          <cell r="AN59">
            <v>9.8567409999999994E-2</v>
          </cell>
          <cell r="AQ59">
            <v>30.668510000000001</v>
          </cell>
          <cell r="AT59">
            <v>0.4110378008898124</v>
          </cell>
          <cell r="AU59">
            <v>30.837290333333332</v>
          </cell>
          <cell r="AV59">
            <v>28.982345100000003</v>
          </cell>
          <cell r="AY59">
            <v>0.3783891467099621</v>
          </cell>
          <cell r="AZ59">
            <v>28.923997334000003</v>
          </cell>
          <cell r="BA59">
            <v>27.265540300000001</v>
          </cell>
          <cell r="BD59">
            <v>9.3523229713304568E-2</v>
          </cell>
          <cell r="BE59">
            <v>27.373269836477665</v>
          </cell>
        </row>
        <row r="60">
          <cell r="F60">
            <v>35</v>
          </cell>
          <cell r="M60">
            <v>22.875779739906946</v>
          </cell>
          <cell r="S60">
            <v>26.02616480083632</v>
          </cell>
          <cell r="W60">
            <v>24.665406455958255</v>
          </cell>
          <cell r="AC60">
            <v>22.890398655199931</v>
          </cell>
          <cell r="AD60">
            <v>22.920398655199929</v>
          </cell>
          <cell r="AJ60">
            <v>24.419816678393879</v>
          </cell>
          <cell r="AM60">
            <v>23.436991906821241</v>
          </cell>
        </row>
        <row r="61">
          <cell r="F61">
            <v>40</v>
          </cell>
          <cell r="M61">
            <v>22.864697000608423</v>
          </cell>
          <cell r="S61">
            <v>26.363769254257221</v>
          </cell>
          <cell r="W61">
            <v>24.525335532387192</v>
          </cell>
          <cell r="AC61">
            <v>22.890305522936934</v>
          </cell>
          <cell r="AD61">
            <v>22.941305522936933</v>
          </cell>
          <cell r="AJ61">
            <v>24.418605958974709</v>
          </cell>
          <cell r="AM61">
            <v>23.559181435893848</v>
          </cell>
        </row>
        <row r="62">
          <cell r="F62">
            <v>45</v>
          </cell>
          <cell r="M62">
            <v>22.871309391282335</v>
          </cell>
          <cell r="S62">
            <v>26.359764566947671</v>
          </cell>
          <cell r="W62">
            <v>24.519561332080414</v>
          </cell>
          <cell r="AC62">
            <v>22.888536009939678</v>
          </cell>
          <cell r="AD62">
            <v>22.899536009939677</v>
          </cell>
          <cell r="AJ62">
            <v>24.526173722754333</v>
          </cell>
          <cell r="AM62">
            <v>23.554059161428153</v>
          </cell>
        </row>
        <row r="63">
          <cell r="F63">
            <v>50</v>
          </cell>
          <cell r="M63">
            <v>22.881367675687706</v>
          </cell>
          <cell r="S63">
            <v>26.369822851353046</v>
          </cell>
          <cell r="W63">
            <v>24.599841342797323</v>
          </cell>
          <cell r="AC63">
            <v>22.893472019879354</v>
          </cell>
          <cell r="AD63">
            <v>22.893472019879354</v>
          </cell>
          <cell r="AJ63">
            <v>24.421472078291927</v>
          </cell>
          <cell r="AM63">
            <v>23.555083616321301</v>
          </cell>
        </row>
        <row r="64">
          <cell r="F64">
            <v>55</v>
          </cell>
          <cell r="M64">
            <v>22.874103359172715</v>
          </cell>
          <cell r="S64">
            <v>26.366283825358558</v>
          </cell>
          <cell r="W64">
            <v>24.858562769446507</v>
          </cell>
          <cell r="AC64">
            <v>22.890212390673913</v>
          </cell>
          <cell r="AD64">
            <v>22.890212390673913</v>
          </cell>
          <cell r="AJ64">
            <v>24.46366099343663</v>
          </cell>
          <cell r="AM64">
            <v>23.554524822743215</v>
          </cell>
        </row>
        <row r="65">
          <cell r="F65">
            <v>60</v>
          </cell>
          <cell r="M65">
            <v>22.86404507476734</v>
          </cell>
          <cell r="S65">
            <v>26.365166238202413</v>
          </cell>
          <cell r="W65">
            <v>24.733858669272561</v>
          </cell>
          <cell r="AC65">
            <v>22.886580232416428</v>
          </cell>
          <cell r="AD65">
            <v>22.886580232416428</v>
          </cell>
          <cell r="AJ65">
            <v>24.347945691463128</v>
          </cell>
          <cell r="AM65">
            <v>23.55461795500624</v>
          </cell>
        </row>
        <row r="66">
          <cell r="F66">
            <v>65</v>
          </cell>
          <cell r="M66">
            <v>22.873172036542588</v>
          </cell>
          <cell r="S66">
            <v>26.526564450003363</v>
          </cell>
          <cell r="W66">
            <v>24.857631446816381</v>
          </cell>
          <cell r="AC66">
            <v>22.891981903671141</v>
          </cell>
          <cell r="AD66">
            <v>22.891981903671141</v>
          </cell>
          <cell r="AJ66">
            <v>24.361518951387328</v>
          </cell>
          <cell r="AM66">
            <v>23.721138441272885</v>
          </cell>
        </row>
        <row r="67">
          <cell r="F67">
            <v>70</v>
          </cell>
          <cell r="M67">
            <v>22.872706375227523</v>
          </cell>
          <cell r="S67">
            <v>26.703329485201376</v>
          </cell>
          <cell r="W67">
            <v>24.852509172350683</v>
          </cell>
          <cell r="AC67">
            <v>22.890491787462956</v>
          </cell>
          <cell r="AD67">
            <v>22.890491787462956</v>
          </cell>
          <cell r="AJ67">
            <v>24.411182498048728</v>
          </cell>
          <cell r="AM67">
            <v>23.560671552102061</v>
          </cell>
        </row>
        <row r="68">
          <cell r="F68">
            <v>75</v>
          </cell>
          <cell r="M68">
            <v>22.867025307183741</v>
          </cell>
          <cell r="S68">
            <v>26.671943912566114</v>
          </cell>
          <cell r="W68">
            <v>24.851484717457559</v>
          </cell>
          <cell r="AC68">
            <v>22.971784841763089</v>
          </cell>
          <cell r="AD68">
            <v>22.962784841763089</v>
          </cell>
          <cell r="AJ68">
            <v>24.607691573005429</v>
          </cell>
          <cell r="AM68">
            <v>23.76435181131075</v>
          </cell>
        </row>
        <row r="69">
          <cell r="F69">
            <v>80</v>
          </cell>
          <cell r="M69">
            <v>22.86488326513447</v>
          </cell>
          <cell r="S69">
            <v>26.697927813946663</v>
          </cell>
          <cell r="W69">
            <v>24.846455575254861</v>
          </cell>
          <cell r="AC69">
            <v>22.928489750772126</v>
          </cell>
          <cell r="AD69">
            <v>22.928489750772126</v>
          </cell>
          <cell r="AJ69">
            <v>24.598285214441127</v>
          </cell>
          <cell r="AM69">
            <v>23.910755728766652</v>
          </cell>
        </row>
        <row r="70">
          <cell r="F70">
            <v>85</v>
          </cell>
          <cell r="M70">
            <v>22.868981084707016</v>
          </cell>
          <cell r="S70">
            <v>26.706123453091756</v>
          </cell>
          <cell r="W70">
            <v>24.850553394827433</v>
          </cell>
          <cell r="AC70">
            <v>23.056756927416188</v>
          </cell>
          <cell r="AD70">
            <v>22.856756927416185</v>
          </cell>
          <cell r="AJ70">
            <v>24.601731108172629</v>
          </cell>
          <cell r="AM70">
            <v>23.900511179835259</v>
          </cell>
        </row>
        <row r="71">
          <cell r="F71">
            <v>90</v>
          </cell>
          <cell r="M71">
            <v>22.874848417276819</v>
          </cell>
          <cell r="S71">
            <v>26.704540204620546</v>
          </cell>
          <cell r="W71">
            <v>24.856327595134214</v>
          </cell>
          <cell r="AC71">
            <v>22.933497912138588</v>
          </cell>
          <cell r="AD71">
            <v>22.833497912138586</v>
          </cell>
          <cell r="AJ71">
            <v>24.597167627285028</v>
          </cell>
          <cell r="AM71">
            <v>23.902746354147578</v>
          </cell>
        </row>
        <row r="72">
          <cell r="F72">
            <v>95</v>
          </cell>
          <cell r="M72">
            <v>22.872520110701505</v>
          </cell>
          <cell r="S72">
            <v>26.703050088412358</v>
          </cell>
          <cell r="W72">
            <v>24.855303140241062</v>
          </cell>
          <cell r="AC72">
            <v>22.893192623090311</v>
          </cell>
          <cell r="AD72">
            <v>22.893192623090311</v>
          </cell>
          <cell r="AJ72">
            <v>24.600892917805528</v>
          </cell>
          <cell r="AM72">
            <v>23.892781202005228</v>
          </cell>
        </row>
        <row r="73">
          <cell r="F73">
            <v>100</v>
          </cell>
          <cell r="M73">
            <v>22.887514405046527</v>
          </cell>
          <cell r="S73">
            <v>26.696344565475425</v>
          </cell>
          <cell r="W73">
            <v>24.861356737336887</v>
          </cell>
          <cell r="AC73">
            <v>22.942904270702886</v>
          </cell>
          <cell r="AD73">
            <v>22.942904270702886</v>
          </cell>
          <cell r="AJ73">
            <v>24.464502253443129</v>
          </cell>
          <cell r="AM73">
            <v>23.897158418366818</v>
          </cell>
        </row>
        <row r="74">
          <cell r="F74">
            <v>105</v>
          </cell>
          <cell r="M74">
            <v>22.871495655808353</v>
          </cell>
          <cell r="S74">
            <v>26.701559972204144</v>
          </cell>
          <cell r="W74">
            <v>24.861915530914974</v>
          </cell>
          <cell r="AC74">
            <v>22.899059955660114</v>
          </cell>
          <cell r="AD74">
            <v>22.899059955660114</v>
          </cell>
          <cell r="AJ74">
            <v>24.564340039392729</v>
          </cell>
          <cell r="AM74">
            <v>23.895109508580546</v>
          </cell>
        </row>
        <row r="75">
          <cell r="F75">
            <v>110</v>
          </cell>
          <cell r="M75">
            <v>22.876524798011054</v>
          </cell>
          <cell r="S75">
            <v>26.700628649574018</v>
          </cell>
          <cell r="W75">
            <v>24.854558082136958</v>
          </cell>
          <cell r="AC75">
            <v>22.967419036711398</v>
          </cell>
          <cell r="AD75">
            <v>22.967419036711398</v>
          </cell>
          <cell r="AJ75">
            <v>24.633978921650527</v>
          </cell>
          <cell r="AM75">
            <v>23.896599624788731</v>
          </cell>
        </row>
        <row r="76">
          <cell r="F76">
            <v>115</v>
          </cell>
          <cell r="M76">
            <v>22.868981084707016</v>
          </cell>
          <cell r="S76">
            <v>26.695878904160363</v>
          </cell>
          <cell r="W76">
            <v>24.853347362717813</v>
          </cell>
          <cell r="AC76">
            <v>22.953845776787187</v>
          </cell>
          <cell r="AD76">
            <v>22.953845776787187</v>
          </cell>
          <cell r="AJ76">
            <v>24.67635410132133</v>
          </cell>
          <cell r="AM76">
            <v>23.899207328153093</v>
          </cell>
        </row>
        <row r="77">
          <cell r="F77">
            <v>120</v>
          </cell>
          <cell r="M77">
            <v>22.873544565594628</v>
          </cell>
          <cell r="S77">
            <v>26.69681022679049</v>
          </cell>
          <cell r="W77">
            <v>24.857631446816381</v>
          </cell>
          <cell r="AC77">
            <v>23.016896318846687</v>
          </cell>
          <cell r="AD77">
            <v>22.916896318846685</v>
          </cell>
          <cell r="AJ77">
            <v>24.676726630373427</v>
          </cell>
          <cell r="AM77">
            <v>23.902373825095513</v>
          </cell>
        </row>
        <row r="79">
          <cell r="AY79">
            <v>22.8</v>
          </cell>
          <cell r="BA79">
            <v>22.8</v>
          </cell>
          <cell r="BC79">
            <v>22.8</v>
          </cell>
        </row>
        <row r="80">
          <cell r="AY80">
            <v>22.805122274465695</v>
          </cell>
          <cell r="BA80">
            <v>22.801210719419171</v>
          </cell>
          <cell r="BC80">
            <v>24.673914264077776</v>
          </cell>
        </row>
        <row r="81">
          <cell r="AY81">
            <v>22.802793967890381</v>
          </cell>
          <cell r="BA81">
            <v>22.810710210246455</v>
          </cell>
          <cell r="BC81">
            <v>24.937199171614569</v>
          </cell>
        </row>
        <row r="82">
          <cell r="AY82">
            <v>22.805308538991717</v>
          </cell>
          <cell r="BA82">
            <v>23.041305693465819</v>
          </cell>
          <cell r="BC82">
            <v>25.019062430802688</v>
          </cell>
        </row>
        <row r="83">
          <cell r="AY83">
            <v>22.882328920503184</v>
          </cell>
          <cell r="BA83">
            <v>23.123262084916963</v>
          </cell>
          <cell r="BC83">
            <v>25.014405817652055</v>
          </cell>
        </row>
        <row r="84">
          <cell r="AY84">
            <v>22.85513429970349</v>
          </cell>
          <cell r="BA84">
            <v>23.150549837979653</v>
          </cell>
          <cell r="BC84">
            <v>25.017572314594503</v>
          </cell>
        </row>
        <row r="85">
          <cell r="AY85">
            <v>22.8</v>
          </cell>
          <cell r="BA85">
            <v>23.150829234768697</v>
          </cell>
          <cell r="BC85">
            <v>25.354711106700343</v>
          </cell>
        </row>
      </sheetData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udge"/>
      <sheetName val="10mgMWCNT"/>
      <sheetName val="20mgSWCNTCTAB"/>
      <sheetName val="MWCNT"/>
      <sheetName val="Mass"/>
      <sheetName val="SWCNT"/>
      <sheetName val="COOH"/>
      <sheetName val="plot"/>
      <sheetName val="MD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M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M51">
            <v>0.03</v>
          </cell>
          <cell r="Q51">
            <v>0.8174078599999981</v>
          </cell>
          <cell r="R51">
            <v>0.4571326099999995</v>
          </cell>
          <cell r="S51">
            <v>0.30025780000000046</v>
          </cell>
        </row>
        <row r="52">
          <cell r="M52">
            <v>0.09</v>
          </cell>
          <cell r="Q52">
            <v>2.8440959699999997</v>
          </cell>
          <cell r="R52">
            <v>1.7231463299999989</v>
          </cell>
          <cell r="S52">
            <v>0.90092930999999976</v>
          </cell>
        </row>
        <row r="53">
          <cell r="M53">
            <v>0.15</v>
          </cell>
          <cell r="Q53">
            <v>4.6428666250000017</v>
          </cell>
          <cell r="R53">
            <v>2.7916646200000015</v>
          </cell>
          <cell r="S53">
            <v>1.1921293099999988</v>
          </cell>
        </row>
        <row r="54">
          <cell r="M54">
            <v>0.24</v>
          </cell>
          <cell r="Q54">
            <v>7.4283280750000014</v>
          </cell>
          <cell r="R54">
            <v>4.3819605700000004</v>
          </cell>
          <cell r="S54">
            <v>1.7098029100000007</v>
          </cell>
        </row>
        <row r="55">
          <cell r="M55">
            <v>0.39</v>
          </cell>
          <cell r="R55">
            <v>6.5197333599999983</v>
          </cell>
          <cell r="S55">
            <v>3.7596773849999998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F57">
            <v>0.22499999999999998</v>
          </cell>
          <cell r="G57">
            <v>4.9070321931041416</v>
          </cell>
          <cell r="H57">
            <v>4.4999999999999998E-2</v>
          </cell>
          <cell r="I57">
            <v>0.90759024221053108</v>
          </cell>
          <cell r="J57">
            <v>7.4999999999999997E-2</v>
          </cell>
          <cell r="K57">
            <v>0.6284530636956509</v>
          </cell>
        </row>
        <row r="58">
          <cell r="F58">
            <v>0.15</v>
          </cell>
          <cell r="G58">
            <v>3.4609444240571436</v>
          </cell>
          <cell r="H58">
            <v>0.15</v>
          </cell>
          <cell r="I58">
            <v>2.0654183241956519</v>
          </cell>
          <cell r="J58">
            <v>0.15</v>
          </cell>
          <cell r="K58">
            <v>1.1620797520289856</v>
          </cell>
          <cell r="M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F59">
            <v>1.4999999999999999E-2</v>
          </cell>
          <cell r="G59">
            <v>0.68418196004915099</v>
          </cell>
          <cell r="H59">
            <v>0.24</v>
          </cell>
          <cell r="I59">
            <v>2.7546794043532188</v>
          </cell>
          <cell r="J59">
            <v>0.24</v>
          </cell>
          <cell r="K59">
            <v>1.3352800186956517</v>
          </cell>
          <cell r="M59">
            <v>0.03</v>
          </cell>
          <cell r="Q59">
            <v>1.1570560900000002</v>
          </cell>
          <cell r="R59">
            <v>0.77144195999999976</v>
          </cell>
          <cell r="S59">
            <v>0.48613127500000086</v>
          </cell>
        </row>
        <row r="60">
          <cell r="F60">
            <v>0.3</v>
          </cell>
          <cell r="G60">
            <v>5.7492706914084124</v>
          </cell>
          <cell r="H60">
            <v>0.3</v>
          </cell>
          <cell r="I60">
            <v>3.1561596586956515</v>
          </cell>
          <cell r="J60">
            <v>0.3</v>
          </cell>
          <cell r="K60">
            <v>1.917538408964667</v>
          </cell>
          <cell r="M60">
            <v>0.09</v>
          </cell>
          <cell r="Q60">
            <v>3.9612549717418544</v>
          </cell>
          <cell r="R60">
            <v>2.5902211629999998</v>
          </cell>
          <cell r="S60">
            <v>1.369519330000001</v>
          </cell>
        </row>
        <row r="61">
          <cell r="F61">
            <v>7.4999999999999997E-2</v>
          </cell>
          <cell r="G61">
            <v>1.897625175421362</v>
          </cell>
          <cell r="H61">
            <v>0.44999999999999996</v>
          </cell>
          <cell r="I61">
            <v>5.2166882686956511</v>
          </cell>
          <cell r="J61">
            <v>0.39</v>
          </cell>
          <cell r="K61">
            <v>2.2944864411956507</v>
          </cell>
          <cell r="M61">
            <v>0.15</v>
          </cell>
          <cell r="Q61">
            <v>7.2555636779999997</v>
          </cell>
          <cell r="R61">
            <v>4.0343113500000003</v>
          </cell>
          <cell r="S61">
            <v>1.9919310610527998</v>
          </cell>
        </row>
        <row r="62">
          <cell r="F62">
            <v>0.24</v>
          </cell>
          <cell r="G62">
            <v>5.1377667686956521</v>
          </cell>
          <cell r="H62">
            <v>0.375</v>
          </cell>
          <cell r="I62">
            <v>4.5189315381956519</v>
          </cell>
          <cell r="J62">
            <v>0.54</v>
          </cell>
          <cell r="K62">
            <v>3.4227047586956525</v>
          </cell>
          <cell r="M62">
            <v>0.24</v>
          </cell>
          <cell r="Q62">
            <v>10.44173</v>
          </cell>
          <cell r="R62">
            <v>6.4600879999999998</v>
          </cell>
          <cell r="S62">
            <v>2.595336525</v>
          </cell>
        </row>
        <row r="63">
          <cell r="M63">
            <v>0.3</v>
          </cell>
          <cell r="R63">
            <v>7.2013151400000002</v>
          </cell>
          <cell r="S63">
            <v>3.6151104999999975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G68"/>
  <sheetViews>
    <sheetView topLeftCell="A13" workbookViewId="0">
      <selection activeCell="L33" sqref="L33"/>
    </sheetView>
  </sheetViews>
  <sheetFormatPr defaultRowHeight="14.25" x14ac:dyDescent="0.15"/>
  <cols>
    <col min="12" max="12" width="11.625" bestFit="1" customWidth="1"/>
  </cols>
  <sheetData>
    <row r="4" spans="3:28" x14ac:dyDescent="0.15">
      <c r="Q4">
        <f>130*20</f>
        <v>2600</v>
      </c>
    </row>
    <row r="5" spans="3:28" x14ac:dyDescent="0.15">
      <c r="Q5">
        <f>133*15</f>
        <v>1995</v>
      </c>
    </row>
    <row r="6" spans="3:28" ht="15.75" x14ac:dyDescent="0.25">
      <c r="C6" s="1"/>
      <c r="D6" s="24" t="s">
        <v>6</v>
      </c>
      <c r="E6" s="24"/>
      <c r="F6" s="24"/>
      <c r="G6" s="24"/>
      <c r="H6" s="24"/>
      <c r="I6" s="24"/>
      <c r="J6" s="24"/>
      <c r="K6" s="1"/>
      <c r="L6" s="1" t="s">
        <v>13</v>
      </c>
      <c r="M6" s="1"/>
      <c r="N6" s="1"/>
      <c r="O6" s="1"/>
      <c r="P6" s="1"/>
      <c r="Q6" s="1"/>
      <c r="R6" s="1"/>
      <c r="S6" s="1"/>
      <c r="T6" s="1" t="s">
        <v>17</v>
      </c>
      <c r="U6" s="1"/>
      <c r="V6" s="1"/>
      <c r="W6" s="1"/>
      <c r="X6" s="1"/>
      <c r="Y6" s="1"/>
      <c r="Z6" s="1"/>
      <c r="AA6" s="1"/>
      <c r="AB6" s="1"/>
    </row>
    <row r="7" spans="3:28" ht="15.75" x14ac:dyDescent="0.25">
      <c r="C7" s="1"/>
      <c r="D7" s="132" t="s">
        <v>51</v>
      </c>
      <c r="E7" s="133" t="s">
        <v>11</v>
      </c>
      <c r="F7" s="133" t="s">
        <v>10</v>
      </c>
      <c r="G7" s="133" t="s">
        <v>42</v>
      </c>
      <c r="H7" s="133" t="s">
        <v>29</v>
      </c>
      <c r="I7" s="133" t="s">
        <v>10</v>
      </c>
      <c r="J7" s="47" t="s">
        <v>12</v>
      </c>
      <c r="K7" s="1"/>
      <c r="L7" s="132" t="s">
        <v>14</v>
      </c>
      <c r="M7" s="133" t="s">
        <v>15</v>
      </c>
      <c r="N7" s="133" t="s">
        <v>10</v>
      </c>
      <c r="O7" s="133" t="s">
        <v>30</v>
      </c>
      <c r="P7" s="133" t="s">
        <v>10</v>
      </c>
      <c r="Q7" s="47"/>
      <c r="R7" s="47"/>
      <c r="S7" s="1"/>
      <c r="T7" s="19"/>
      <c r="U7" s="20" t="s">
        <v>18</v>
      </c>
      <c r="V7" s="20" t="s">
        <v>10</v>
      </c>
      <c r="W7" s="20" t="s">
        <v>29</v>
      </c>
      <c r="X7" s="20" t="s">
        <v>10</v>
      </c>
      <c r="Y7" s="21" t="s">
        <v>19</v>
      </c>
      <c r="Z7" s="1"/>
      <c r="AA7" s="1"/>
      <c r="AB7" s="1"/>
    </row>
    <row r="8" spans="3:28" ht="15.75" x14ac:dyDescent="0.25">
      <c r="C8" s="1">
        <v>0</v>
      </c>
      <c r="D8" s="10">
        <v>0</v>
      </c>
      <c r="E8" s="11">
        <v>3.8029634359999995E-3</v>
      </c>
      <c r="F8" s="110">
        <v>2.8585958446509479E-3</v>
      </c>
      <c r="G8" s="140">
        <f>100*(F8/E8)</f>
        <v>75.167586876871269</v>
      </c>
      <c r="H8" s="11">
        <v>3.1256895260000001E-3</v>
      </c>
      <c r="I8" s="110">
        <v>0</v>
      </c>
      <c r="J8" s="51">
        <v>0</v>
      </c>
      <c r="K8" s="1"/>
      <c r="L8" s="134">
        <v>0</v>
      </c>
      <c r="M8" s="50">
        <v>3.8029634359999995E-3</v>
      </c>
      <c r="N8" s="106">
        <v>2.8585958446509479E-3</v>
      </c>
      <c r="O8" s="50">
        <v>3.1256895260000001E-3</v>
      </c>
      <c r="P8" s="107">
        <v>0</v>
      </c>
      <c r="Q8" s="49">
        <v>0</v>
      </c>
      <c r="R8" s="50">
        <v>0</v>
      </c>
      <c r="S8" s="1">
        <v>0</v>
      </c>
      <c r="T8" s="56">
        <v>0</v>
      </c>
      <c r="U8" s="12">
        <v>3.8029634359999995E-3</v>
      </c>
      <c r="V8" s="9">
        <v>2.8585958446509479E-3</v>
      </c>
      <c r="W8" s="12">
        <v>3.1256895260000001E-3</v>
      </c>
      <c r="X8" s="9">
        <v>0</v>
      </c>
      <c r="Y8" s="13">
        <v>0</v>
      </c>
      <c r="Z8" s="1">
        <f>W8-0.17</f>
        <v>-0.166874310474</v>
      </c>
      <c r="AA8" s="1"/>
      <c r="AB8" s="1"/>
    </row>
    <row r="9" spans="3:28" ht="15.75" x14ac:dyDescent="0.25">
      <c r="C9" s="1">
        <f>D9/(3.14*0.25*0.41)</f>
        <v>2.6605688245077128E-3</v>
      </c>
      <c r="D9" s="10">
        <v>8.5630407616780731E-4</v>
      </c>
      <c r="E9" s="11">
        <v>0.34682415897678287</v>
      </c>
      <c r="F9" s="110">
        <v>2.9335726248825911E-2</v>
      </c>
      <c r="G9" s="140">
        <f t="shared" ref="G9:G16" si="0">100*(F9/E9)</f>
        <v>8.4583860407457099</v>
      </c>
      <c r="H9" s="11">
        <v>0.50603601664465003</v>
      </c>
      <c r="I9" s="110">
        <v>9.991611647986124E-3</v>
      </c>
      <c r="J9" s="51">
        <v>0.65348790000000001</v>
      </c>
      <c r="K9" s="1"/>
      <c r="L9" s="10">
        <v>6.9550000000000001E-2</v>
      </c>
      <c r="M9" s="51">
        <v>0.34793496666666596</v>
      </c>
      <c r="N9" s="108">
        <v>6.7042417562351332E-3</v>
      </c>
      <c r="O9" s="51">
        <v>0.65721454333333185</v>
      </c>
      <c r="P9" s="110">
        <v>4.9532063705454654E-2</v>
      </c>
      <c r="Q9" s="11">
        <v>0.46116061045130829</v>
      </c>
      <c r="R9" s="51">
        <v>0.69364733016626989</v>
      </c>
      <c r="S9" s="1">
        <f>Q9-0.1</f>
        <v>0.36116061045130832</v>
      </c>
      <c r="T9" s="56">
        <v>2.5999999999999999E-2</v>
      </c>
      <c r="U9" s="50">
        <v>0.4682299572370236</v>
      </c>
      <c r="V9" s="106">
        <v>1.0325118595779533E-2</v>
      </c>
      <c r="W9" s="50">
        <v>0.77443938794713318</v>
      </c>
      <c r="X9" s="107">
        <v>2.8023968858079899E-2</v>
      </c>
      <c r="Y9" s="13">
        <v>2.8023968858079899E-2</v>
      </c>
      <c r="Z9" s="1">
        <v>0</v>
      </c>
      <c r="AA9" s="1"/>
      <c r="AB9" s="1"/>
    </row>
    <row r="10" spans="3:28" ht="15.75" x14ac:dyDescent="0.25">
      <c r="C10" s="1">
        <f t="shared" ref="C10:C16" si="1">D10/(3.14*0.25*0.41)</f>
        <v>0.21923256175236913</v>
      </c>
      <c r="D10" s="10">
        <v>7.0559999999999998E-2</v>
      </c>
      <c r="E10" s="11">
        <v>1.7015093866666671</v>
      </c>
      <c r="F10" s="110">
        <v>3.9988817479351416E-2</v>
      </c>
      <c r="G10" s="140">
        <f t="shared" si="0"/>
        <v>2.350196701394125</v>
      </c>
      <c r="H10" s="11">
        <v>2.185751099206461</v>
      </c>
      <c r="I10" s="110">
        <v>0.10701331919346722</v>
      </c>
      <c r="J10" s="51">
        <v>2.7249254399809502</v>
      </c>
      <c r="K10" s="1"/>
      <c r="L10" s="10">
        <v>0.13</v>
      </c>
      <c r="M10" s="51">
        <v>1.3831871290799651</v>
      </c>
      <c r="N10" s="108">
        <v>2.3076909776046883E-2</v>
      </c>
      <c r="O10" s="51">
        <v>1.5391658676624342</v>
      </c>
      <c r="P10" s="110">
        <v>1.7970751011163087E-3</v>
      </c>
      <c r="Q10" s="11">
        <v>1.1721755707593304</v>
      </c>
      <c r="R10" s="51">
        <v>1.3866281348211404</v>
      </c>
      <c r="S10" s="1">
        <f>Q10-0.17</f>
        <v>1.0021755707593305</v>
      </c>
      <c r="T10" s="56">
        <v>5.1999999999999998E-2</v>
      </c>
      <c r="U10" s="12">
        <v>0.67798786333333305</v>
      </c>
      <c r="V10" s="9">
        <v>1.5320474962173859E-2</v>
      </c>
      <c r="W10" s="11">
        <v>1.3541510400000003</v>
      </c>
      <c r="X10" s="110">
        <v>3.4099865651814332E-2</v>
      </c>
      <c r="Y10" s="51">
        <v>3.4099865651814332E-2</v>
      </c>
      <c r="Z10" s="1">
        <f t="shared" ref="Z10:Z13" si="2">W10-0.17</f>
        <v>1.1841510400000004</v>
      </c>
      <c r="AA10" s="1"/>
      <c r="AB10" s="1"/>
    </row>
    <row r="11" spans="3:28" ht="15.75" x14ac:dyDescent="0.25">
      <c r="C11" s="1">
        <f t="shared" si="1"/>
        <v>0.1615659468696598</v>
      </c>
      <c r="D11" s="10">
        <v>5.2000000000000005E-2</v>
      </c>
      <c r="E11" s="11">
        <v>1.3074747989272524</v>
      </c>
      <c r="F11" s="110">
        <v>4.7911881740207572E-2</v>
      </c>
      <c r="G11" s="140">
        <f t="shared" si="0"/>
        <v>3.6644592904978337</v>
      </c>
      <c r="H11" s="11">
        <v>1.4903705313029079</v>
      </c>
      <c r="I11" s="110">
        <v>6.2464904384558734E-2</v>
      </c>
      <c r="J11" s="51">
        <v>1.8963770506607001</v>
      </c>
      <c r="K11" s="1"/>
      <c r="L11" s="10">
        <v>0.25740000000000002</v>
      </c>
      <c r="M11" s="51">
        <v>3.5714077096704515</v>
      </c>
      <c r="N11" s="108">
        <v>0.21597318551851333</v>
      </c>
      <c r="O11" s="51">
        <v>4.7435528808286369</v>
      </c>
      <c r="P11" s="110">
        <v>0.20684442400873079</v>
      </c>
      <c r="Q11" s="11">
        <v>2.4483856232848678</v>
      </c>
      <c r="R11" s="51">
        <v>2.9821735386868995</v>
      </c>
      <c r="S11" s="1">
        <f>Q11-0.17</f>
        <v>2.2783856232848678</v>
      </c>
      <c r="T11" s="56">
        <v>0.1353</v>
      </c>
      <c r="U11" s="12">
        <v>3.4192555504327409</v>
      </c>
      <c r="V11" s="9">
        <v>0.17612879950033727</v>
      </c>
      <c r="W11" s="11">
        <v>3.7132737995948779</v>
      </c>
      <c r="X11" s="110">
        <v>7.9748239695704312E-2</v>
      </c>
      <c r="Y11" s="51">
        <v>7.9748239695704312E-2</v>
      </c>
      <c r="Z11" s="1">
        <f t="shared" si="2"/>
        <v>3.543273799594878</v>
      </c>
      <c r="AA11" s="1"/>
      <c r="AB11" s="1"/>
    </row>
    <row r="12" spans="3:28" ht="15.75" x14ac:dyDescent="0.25">
      <c r="C12" s="1">
        <f t="shared" si="1"/>
        <v>8.5319248096939568E-2</v>
      </c>
      <c r="D12" s="10">
        <v>2.7459999999999998E-2</v>
      </c>
      <c r="E12" s="11">
        <v>0.77714165710260019</v>
      </c>
      <c r="F12" s="110">
        <v>5.6908584251111505E-2</v>
      </c>
      <c r="G12" s="140">
        <f t="shared" si="0"/>
        <v>7.3228070752612213</v>
      </c>
      <c r="H12" s="11">
        <v>1.2799847491573051</v>
      </c>
      <c r="I12" s="110">
        <v>8.88886640938122E-2</v>
      </c>
      <c r="J12" s="51">
        <v>1.3733493312209468</v>
      </c>
      <c r="K12" s="1"/>
      <c r="L12" s="10">
        <v>0.38480000000000003</v>
      </c>
      <c r="M12" s="51">
        <v>5.4908870636666656</v>
      </c>
      <c r="N12" s="108">
        <v>9.0135502663119177E-2</v>
      </c>
      <c r="O12" s="51">
        <v>6.5117703099999993</v>
      </c>
      <c r="P12" s="110">
        <v>7.4723094133999995E-2</v>
      </c>
      <c r="Q12" s="53">
        <v>3.2398979911296197</v>
      </c>
      <c r="R12" s="54">
        <v>3.998739963950622</v>
      </c>
      <c r="S12" s="1">
        <f>Q12-0.17</f>
        <v>3.0698979911296198</v>
      </c>
      <c r="T12" s="56">
        <v>0.2596</v>
      </c>
      <c r="U12" s="12">
        <v>6.334559053255675</v>
      </c>
      <c r="V12" s="9">
        <v>0.14497577796197525</v>
      </c>
      <c r="W12" s="12">
        <v>7.6452253231615162</v>
      </c>
      <c r="X12" s="9">
        <v>0.1804702044216514</v>
      </c>
      <c r="Y12" s="13">
        <v>0.1804702044216514</v>
      </c>
      <c r="Z12" s="1">
        <f t="shared" si="2"/>
        <v>7.4752253231615162</v>
      </c>
      <c r="AA12" s="1"/>
      <c r="AB12" s="1"/>
    </row>
    <row r="13" spans="3:28" ht="15.75" x14ac:dyDescent="0.25">
      <c r="C13" s="1">
        <f t="shared" si="1"/>
        <v>0.35668789808917201</v>
      </c>
      <c r="D13" s="10">
        <v>0.1148</v>
      </c>
      <c r="E13" s="11">
        <v>3.3516067290451872</v>
      </c>
      <c r="F13" s="110">
        <v>0.13314758747396502</v>
      </c>
      <c r="G13" s="140">
        <f t="shared" si="0"/>
        <v>3.9726494853976018</v>
      </c>
      <c r="H13" s="11">
        <v>3.8115664707561514</v>
      </c>
      <c r="I13" s="110">
        <v>0.43725640138182692</v>
      </c>
      <c r="J13" s="51">
        <v>4.7293026999999999</v>
      </c>
      <c r="K13" s="1"/>
      <c r="L13" s="52">
        <v>0.504</v>
      </c>
      <c r="M13" s="54">
        <v>6.6032941433414649</v>
      </c>
      <c r="N13" s="109">
        <v>5.5689449840741763E-2</v>
      </c>
      <c r="O13" s="54">
        <v>7.5658308604854696</v>
      </c>
      <c r="P13" s="110">
        <v>0.18733426127580186</v>
      </c>
      <c r="Q13" s="1"/>
      <c r="R13" s="1"/>
      <c r="S13" s="1"/>
      <c r="T13" s="56">
        <v>0.39060000000000006</v>
      </c>
      <c r="U13" s="12">
        <v>8.7384798172203428</v>
      </c>
      <c r="V13" s="9">
        <v>7.5438772097373583E-2</v>
      </c>
      <c r="W13" s="12">
        <v>10.651957416403331</v>
      </c>
      <c r="X13" s="9">
        <v>0.15506102467414024</v>
      </c>
      <c r="Y13" s="13">
        <v>0.15506102467414024</v>
      </c>
      <c r="Z13" s="1">
        <f t="shared" si="2"/>
        <v>10.481957416403331</v>
      </c>
      <c r="AA13" s="1">
        <f>29.6/21.7</f>
        <v>1.3640552995391706</v>
      </c>
      <c r="AB13" s="1"/>
    </row>
    <row r="14" spans="3:28" ht="15.75" x14ac:dyDescent="0.25">
      <c r="C14" s="1">
        <f t="shared" si="1"/>
        <v>0.81404380922790132</v>
      </c>
      <c r="D14" s="10">
        <v>0.26200000000000001</v>
      </c>
      <c r="E14" s="11">
        <v>8.6308201423408786</v>
      </c>
      <c r="F14" s="110">
        <v>0.18343471061260244</v>
      </c>
      <c r="G14" s="140">
        <f t="shared" si="0"/>
        <v>2.1253450725118537</v>
      </c>
      <c r="H14" s="11">
        <v>9.8253091668244874</v>
      </c>
      <c r="I14" s="110">
        <v>0.2473121027889886</v>
      </c>
      <c r="J14" s="51">
        <v>11.094783919999999</v>
      </c>
      <c r="K14" s="1"/>
      <c r="L14" s="1"/>
      <c r="M14" s="1"/>
      <c r="N14" s="1"/>
      <c r="O14" s="1"/>
      <c r="P14" s="1"/>
      <c r="Q14" s="1"/>
      <c r="R14" s="1"/>
      <c r="S14" s="1"/>
      <c r="T14" s="18">
        <v>0.54600000000000004</v>
      </c>
      <c r="U14" s="14">
        <v>11.53830105294591</v>
      </c>
      <c r="V14" s="98">
        <v>0.11223184453401638</v>
      </c>
      <c r="W14" s="53">
        <v>14.60389563532498</v>
      </c>
      <c r="X14" s="111">
        <v>0.13369500661036057</v>
      </c>
      <c r="Y14" s="54">
        <v>0.13369500661036057</v>
      </c>
      <c r="Z14" s="1">
        <f>W17-0.17</f>
        <v>17.722760999999998</v>
      </c>
      <c r="AA14" s="1">
        <f>36.1/26.5</f>
        <v>1.3622641509433964</v>
      </c>
      <c r="AB14" s="1"/>
    </row>
    <row r="15" spans="3:28" ht="15.75" x14ac:dyDescent="0.25">
      <c r="C15" s="1">
        <f t="shared" si="1"/>
        <v>1.2637855511965372</v>
      </c>
      <c r="D15" s="10">
        <v>0.40674937965260549</v>
      </c>
      <c r="E15" s="11">
        <v>11.838839258579926</v>
      </c>
      <c r="F15" s="110">
        <v>0.10517663516678724</v>
      </c>
      <c r="G15" s="140">
        <f t="shared" si="0"/>
        <v>0.88840327053653423</v>
      </c>
      <c r="H15" s="11">
        <v>15.627054158495403</v>
      </c>
      <c r="I15" s="110">
        <v>0.16359652469006106</v>
      </c>
      <c r="J15" s="51">
        <v>17.159368203</v>
      </c>
      <c r="K15" s="1"/>
      <c r="L15" s="1" t="s">
        <v>89</v>
      </c>
      <c r="M15" s="135">
        <v>1</v>
      </c>
      <c r="N15" s="7">
        <v>2</v>
      </c>
      <c r="O15" s="135">
        <v>3</v>
      </c>
      <c r="P15" s="1" t="s">
        <v>81</v>
      </c>
      <c r="Q15" s="1" t="s">
        <v>70</v>
      </c>
      <c r="R15" s="1"/>
      <c r="S15" s="1"/>
      <c r="T15" s="1"/>
      <c r="U15" s="1"/>
      <c r="V15" s="1"/>
      <c r="W15" s="1"/>
      <c r="X15" s="1"/>
      <c r="Y15" s="1"/>
      <c r="Z15" s="1">
        <f>W14-0.17</f>
        <v>14.43389563532498</v>
      </c>
      <c r="AA15" s="1">
        <f>42.1/32.65</f>
        <v>1.2894333843797856</v>
      </c>
      <c r="AB15" s="1"/>
    </row>
    <row r="16" spans="3:28" ht="15.75" x14ac:dyDescent="0.25">
      <c r="C16" s="1">
        <f t="shared" si="1"/>
        <v>1.5908031691781888</v>
      </c>
      <c r="D16" s="52">
        <v>0.51200000000000001</v>
      </c>
      <c r="E16" s="53">
        <v>14.854117888168764</v>
      </c>
      <c r="F16" s="111">
        <v>1.0944052030679012</v>
      </c>
      <c r="G16" s="141">
        <f t="shared" si="0"/>
        <v>7.3676889553945841</v>
      </c>
      <c r="H16" s="53">
        <v>17.577116799338569</v>
      </c>
      <c r="I16" s="111">
        <v>0.47270396298889428</v>
      </c>
      <c r="J16" s="54">
        <v>21.639852999999999</v>
      </c>
      <c r="K16" s="1"/>
      <c r="L16" s="1">
        <v>0</v>
      </c>
      <c r="M16" s="1">
        <v>3.1256895260000001E-3</v>
      </c>
      <c r="N16" s="1">
        <v>3.1256895260000001E-3</v>
      </c>
      <c r="O16" s="1">
        <v>3.1256895260000001E-3</v>
      </c>
      <c r="P16" s="1">
        <f>AVERAGE(M16:O16)</f>
        <v>3.1256895260000001E-3</v>
      </c>
      <c r="Q16" s="1">
        <f>_xlfn.STDEV.S(M16:O16)</f>
        <v>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3:33" ht="15.75" x14ac:dyDescent="0.25">
      <c r="K17" s="1"/>
      <c r="L17" s="1">
        <v>6.9550000000000001E-2</v>
      </c>
      <c r="M17" s="1">
        <v>0.67390505999999917</v>
      </c>
      <c r="N17" s="1">
        <v>0.60149317999999852</v>
      </c>
      <c r="O17" s="51">
        <v>0.69624538999999785</v>
      </c>
      <c r="P17" s="1">
        <f>AVERAGE(M17:O17)</f>
        <v>0.65721454333333185</v>
      </c>
      <c r="Q17" s="1">
        <f>_xlfn.STDEV.S(M17:O17)</f>
        <v>4.9532063705454654E-2</v>
      </c>
      <c r="R17" s="1"/>
      <c r="S17" s="1"/>
      <c r="T17" s="56">
        <v>0.69</v>
      </c>
      <c r="U17" s="12">
        <v>15.1551337632617</v>
      </c>
      <c r="V17" s="9">
        <v>0.77859135649</v>
      </c>
      <c r="W17" s="12">
        <v>17.892761</v>
      </c>
      <c r="X17" s="9">
        <v>0.89758417999999995</v>
      </c>
      <c r="Y17" s="13">
        <v>22.382719000000002</v>
      </c>
      <c r="Z17" s="1"/>
      <c r="AA17" s="1"/>
      <c r="AB17" s="1"/>
    </row>
    <row r="18" spans="3:33" ht="15.75" x14ac:dyDescent="0.25">
      <c r="K18" s="1"/>
      <c r="L18" s="1">
        <v>0.13</v>
      </c>
      <c r="M18" s="1">
        <v>1.537148001024029</v>
      </c>
      <c r="N18" s="1">
        <v>1.5405938947554638</v>
      </c>
      <c r="O18" s="1">
        <v>1.5397557072078101</v>
      </c>
      <c r="P18" s="1">
        <f>AVERAGE(M18:O18)</f>
        <v>1.5391658676624342</v>
      </c>
      <c r="Q18" s="1">
        <f>_xlfn.STDEV.S(M18:O18)</f>
        <v>1.7970751011163087E-3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3:33" ht="15.75" x14ac:dyDescent="0.25">
      <c r="K19" s="1"/>
      <c r="L19" s="1">
        <f>0.13/20*39.6</f>
        <v>0.25740000000000002</v>
      </c>
      <c r="M19" s="1">
        <v>4.8426520199999992</v>
      </c>
      <c r="N19" s="1">
        <v>4.8822030354859116</v>
      </c>
      <c r="O19" s="1">
        <v>4.5058035869999991</v>
      </c>
      <c r="P19" s="1">
        <f>AVERAGE(M19:O19)</f>
        <v>4.7435528808286369</v>
      </c>
      <c r="Q19" s="1">
        <f>_xlfn.STDEV.S(M19:O19)</f>
        <v>0.20684442400873079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3:33" ht="15.75" x14ac:dyDescent="0.25">
      <c r="K20" s="1"/>
      <c r="L20" s="1">
        <v>0.38480000000000003</v>
      </c>
      <c r="M20" s="1">
        <v>6.4383530899999997</v>
      </c>
      <c r="N20" s="1">
        <v>6.5877341699999974</v>
      </c>
      <c r="O20" s="1">
        <v>6.5092236700000008</v>
      </c>
      <c r="P20" s="1">
        <f t="shared" ref="P20" si="3">AVERAGE(M20:O20)</f>
        <v>6.5117703099999993</v>
      </c>
      <c r="Q20" s="1">
        <f t="shared" ref="Q20" si="4">_xlfn.STDEV.S(M20:O20)</f>
        <v>7.4723094133999995E-2</v>
      </c>
      <c r="R20" s="1"/>
      <c r="S20" s="1"/>
      <c r="T20" s="1"/>
      <c r="U20" s="1" t="s">
        <v>92</v>
      </c>
      <c r="V20" s="1"/>
      <c r="W20" s="1"/>
      <c r="X20" s="1"/>
      <c r="Y20" s="1"/>
      <c r="Z20" s="1"/>
      <c r="AA20" s="1"/>
      <c r="AB20" s="1"/>
    </row>
    <row r="21" spans="3:33" ht="15.75" x14ac:dyDescent="0.25">
      <c r="K21" s="1"/>
      <c r="L21" s="1">
        <v>0.504</v>
      </c>
      <c r="M21" s="1">
        <v>7.7568531487496983</v>
      </c>
      <c r="N21" s="1">
        <v>7.5582230125797984</v>
      </c>
      <c r="O21" s="1">
        <v>7.382416420126912</v>
      </c>
      <c r="P21" s="1">
        <f>AVERAGE(M21:O21)</f>
        <v>7.5658308604854696</v>
      </c>
      <c r="Q21" s="1">
        <f>_xlfn.STDEV.S(M21:O21)</f>
        <v>0.18733426127580186</v>
      </c>
      <c r="R21" s="1"/>
      <c r="S21" s="1"/>
      <c r="T21" s="1"/>
      <c r="U21" s="1" t="s">
        <v>89</v>
      </c>
      <c r="V21" s="1">
        <v>1</v>
      </c>
      <c r="W21" s="1">
        <v>2</v>
      </c>
      <c r="X21" s="1">
        <v>3</v>
      </c>
      <c r="Y21" s="1" t="s">
        <v>9</v>
      </c>
      <c r="Z21" s="1" t="s">
        <v>10</v>
      </c>
      <c r="AA21" s="1"/>
      <c r="AB21" s="1"/>
    </row>
    <row r="22" spans="3:33" ht="15.75" x14ac:dyDescent="0.25"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v>0</v>
      </c>
      <c r="V22" s="1">
        <v>3.1256895260000001E-3</v>
      </c>
      <c r="W22" s="1">
        <v>3.1256895260000001E-3</v>
      </c>
      <c r="X22" s="1">
        <v>3.1256895260000001E-3</v>
      </c>
      <c r="Y22" s="55">
        <f>AVERAGE(V22:X22)</f>
        <v>3.1256895260000001E-3</v>
      </c>
      <c r="Z22" s="17">
        <f>_xlfn.STDEV.S(V22:X22)</f>
        <v>0</v>
      </c>
      <c r="AA22" s="1"/>
      <c r="AB22" s="1"/>
    </row>
    <row r="23" spans="3:33" ht="15.75" x14ac:dyDescent="0.25">
      <c r="K23" s="1"/>
      <c r="L23" s="1" t="s">
        <v>91</v>
      </c>
      <c r="M23" s="135">
        <v>1</v>
      </c>
      <c r="N23" s="7">
        <v>2</v>
      </c>
      <c r="O23" s="135">
        <v>3</v>
      </c>
      <c r="P23" s="1" t="s">
        <v>81</v>
      </c>
      <c r="Q23" s="1" t="s">
        <v>70</v>
      </c>
      <c r="R23" s="1"/>
      <c r="S23" s="1"/>
      <c r="T23" s="1"/>
      <c r="U23" s="1">
        <v>2.5999999999999999E-2</v>
      </c>
      <c r="V23" s="1">
        <v>0.78852682000000129</v>
      </c>
      <c r="W23" s="1">
        <v>0.79262464384139975</v>
      </c>
      <c r="X23" s="1">
        <v>0.74216669999999851</v>
      </c>
      <c r="Y23" s="56">
        <f t="shared" ref="Y23:Y28" si="5">AVERAGE(V23:X23)</f>
        <v>0.77443938794713318</v>
      </c>
      <c r="Z23" s="13">
        <f t="shared" ref="Z23:Z28" si="6">_xlfn.STDEV.S(V23:X23)</f>
        <v>2.8023968858079899E-2</v>
      </c>
      <c r="AA23" s="1"/>
      <c r="AB23" s="1"/>
    </row>
    <row r="24" spans="3:33" ht="15.75" x14ac:dyDescent="0.25">
      <c r="K24" s="1"/>
      <c r="L24" s="1">
        <v>0</v>
      </c>
      <c r="M24" s="1">
        <v>3.2568195259999998E-3</v>
      </c>
      <c r="N24" s="1">
        <v>6.8952312559999998E-3</v>
      </c>
      <c r="O24" s="1">
        <v>1.2568395259999999E-3</v>
      </c>
      <c r="P24" s="1">
        <f>AVERAGE(M24:O24)</f>
        <v>3.8029634359999995E-3</v>
      </c>
      <c r="Q24" s="1">
        <f>_xlfn.STDEV.S(M24:O24)</f>
        <v>2.8585958446509479E-3</v>
      </c>
      <c r="R24" s="1"/>
      <c r="S24" s="1"/>
      <c r="T24" s="1"/>
      <c r="U24" s="1">
        <v>5.1999999999999998E-2</v>
      </c>
      <c r="V24" s="1">
        <v>1.3755364100000023</v>
      </c>
      <c r="W24" s="1">
        <v>1.3720905099999996</v>
      </c>
      <c r="X24" s="1">
        <v>1.3148261999999988</v>
      </c>
      <c r="Y24" s="56">
        <f t="shared" si="5"/>
        <v>1.3541510400000003</v>
      </c>
      <c r="Z24" s="13">
        <f t="shared" si="6"/>
        <v>3.4099865651814332E-2</v>
      </c>
      <c r="AA24" s="1"/>
      <c r="AB24" s="1"/>
    </row>
    <row r="25" spans="3:33" ht="15.75" x14ac:dyDescent="0.25">
      <c r="K25" s="1"/>
      <c r="L25" s="1">
        <v>6.9550000000000001E-2</v>
      </c>
      <c r="M25" s="1">
        <v>0.35567211000000043</v>
      </c>
      <c r="N25" s="1">
        <v>0.34384431999999876</v>
      </c>
      <c r="O25" s="51">
        <v>0.34428846999999863</v>
      </c>
      <c r="P25" s="1">
        <f>AVERAGE(M25:O25)</f>
        <v>0.34793496666666596</v>
      </c>
      <c r="Q25" s="1">
        <f>_xlfn.STDEV.S(M25:O25)</f>
        <v>6.7042417562351332E-3</v>
      </c>
      <c r="R25" s="1"/>
      <c r="S25" s="1"/>
      <c r="T25" s="1"/>
      <c r="U25" s="1">
        <v>0.1353</v>
      </c>
      <c r="V25" s="1">
        <v>3.7740918263251721</v>
      </c>
      <c r="W25" s="1">
        <v>3.7427451457229601</v>
      </c>
      <c r="X25" s="1">
        <v>3.622984426736501</v>
      </c>
      <c r="Y25" s="56">
        <f t="shared" si="5"/>
        <v>3.7132737995948779</v>
      </c>
      <c r="Z25" s="13">
        <f t="shared" si="6"/>
        <v>7.9748239695704312E-2</v>
      </c>
      <c r="AA25" s="1"/>
      <c r="AB25" s="1"/>
    </row>
    <row r="26" spans="3:33" ht="15.75" x14ac:dyDescent="0.25">
      <c r="K26" s="1"/>
      <c r="L26" s="1">
        <v>0.13</v>
      </c>
      <c r="M26" s="1">
        <v>1.4096499329596774</v>
      </c>
      <c r="N26" s="1">
        <v>1.3726638211063005</v>
      </c>
      <c r="O26" s="1">
        <v>1.3672476331739176</v>
      </c>
      <c r="P26" s="1">
        <f>AVERAGE(M26:O26)</f>
        <v>1.3831871290799651</v>
      </c>
      <c r="Q26" s="1">
        <f>_xlfn.STDEV.S(M26:O26)</f>
        <v>2.3076909776046883E-2</v>
      </c>
      <c r="R26" s="1"/>
      <c r="S26" s="1"/>
      <c r="T26" s="1"/>
      <c r="U26" s="1">
        <v>0.2596</v>
      </c>
      <c r="V26" s="1">
        <v>7.5471858112325982</v>
      </c>
      <c r="W26" s="1">
        <v>7.8534954645557988</v>
      </c>
      <c r="X26" s="1">
        <v>7.5349946936961523</v>
      </c>
      <c r="Y26" s="56">
        <f t="shared" si="5"/>
        <v>7.6452253231615162</v>
      </c>
      <c r="Z26" s="13">
        <f t="shared" si="6"/>
        <v>0.1804702044216514</v>
      </c>
      <c r="AA26" s="1"/>
      <c r="AB26" s="1"/>
    </row>
    <row r="27" spans="3:33" ht="15.75" x14ac:dyDescent="0.25">
      <c r="K27" s="1"/>
      <c r="L27" s="1">
        <f>0.13/20*39.6</f>
        <v>0.25740000000000002</v>
      </c>
      <c r="M27" s="1">
        <v>3.727843983640863</v>
      </c>
      <c r="N27" s="1">
        <v>3.3249927058811792</v>
      </c>
      <c r="O27" s="1">
        <v>3.6613864394893127</v>
      </c>
      <c r="P27" s="1">
        <f>AVERAGE(M27:O27)</f>
        <v>3.5714077096704515</v>
      </c>
      <c r="Q27" s="1">
        <f>_xlfn.STDEV.S(M27:O27)</f>
        <v>0.21597318551851333</v>
      </c>
      <c r="R27" s="1"/>
      <c r="S27" s="1"/>
      <c r="T27" s="1"/>
      <c r="U27" s="1">
        <v>0.39060000000000006</v>
      </c>
      <c r="V27" s="1">
        <v>10.65113369531235</v>
      </c>
      <c r="W27" s="1">
        <v>10.497309893209341</v>
      </c>
      <c r="X27" s="1">
        <v>10.807428660688302</v>
      </c>
      <c r="Y27" s="56">
        <f t="shared" si="5"/>
        <v>10.651957416403331</v>
      </c>
      <c r="Z27" s="13">
        <f t="shared" si="6"/>
        <v>0.15506102467414024</v>
      </c>
      <c r="AA27" s="1"/>
      <c r="AB27" s="1"/>
    </row>
    <row r="28" spans="3:33" ht="15.75" x14ac:dyDescent="0.25">
      <c r="K28" s="1"/>
      <c r="L28" s="1">
        <v>0.38480000000000003</v>
      </c>
      <c r="M28" s="1">
        <v>5.3889418199999994</v>
      </c>
      <c r="N28" s="1">
        <v>5.5600196499999974</v>
      </c>
      <c r="O28" s="1">
        <v>5.5236997209999998</v>
      </c>
      <c r="P28" s="1">
        <f t="shared" ref="P28" si="7">AVERAGE(M28:O28)</f>
        <v>5.4908870636666656</v>
      </c>
      <c r="Q28" s="1">
        <f t="shared" ref="Q28" si="8">_xlfn.STDEV.S(M28:O28)</f>
        <v>9.0135502663119177E-2</v>
      </c>
      <c r="R28" s="1"/>
      <c r="S28" s="1"/>
      <c r="T28" s="1"/>
      <c r="U28" s="1">
        <v>0.54600000000000004</v>
      </c>
      <c r="V28" s="1">
        <v>14.532219143642166</v>
      </c>
      <c r="W28" s="1">
        <v>14.521322668869676</v>
      </c>
      <c r="X28" s="1">
        <v>14.758145093463099</v>
      </c>
      <c r="Y28" s="18">
        <f t="shared" si="5"/>
        <v>14.60389563532498</v>
      </c>
      <c r="Z28" s="15">
        <f t="shared" si="6"/>
        <v>0.13369500661036057</v>
      </c>
      <c r="AA28" s="1"/>
      <c r="AB28" s="1"/>
    </row>
    <row r="29" spans="3:33" ht="15.75" x14ac:dyDescent="0.25">
      <c r="K29" s="1"/>
      <c r="L29" s="1">
        <v>0.504</v>
      </c>
      <c r="M29" s="1">
        <v>6.6112544342266979</v>
      </c>
      <c r="N29" s="1">
        <v>6.6545751067397987</v>
      </c>
      <c r="O29" s="1">
        <v>6.5440528890578982</v>
      </c>
      <c r="P29" s="1">
        <f>AVERAGE(M29:O29)</f>
        <v>6.6032941433414649</v>
      </c>
      <c r="Q29" s="1">
        <f>_xlfn.STDEV.S(M29:O29)</f>
        <v>5.5689449840741763E-2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G29">
        <f>AG60</f>
        <v>0</v>
      </c>
    </row>
    <row r="30" spans="3:33" ht="15.75" x14ac:dyDescent="0.25">
      <c r="T30" s="1"/>
      <c r="U30" s="1"/>
      <c r="V30" s="1"/>
      <c r="W30" s="1"/>
      <c r="X30" s="1"/>
      <c r="Y30" s="1"/>
      <c r="Z30" s="1"/>
      <c r="AA30" s="1"/>
      <c r="AB30" s="1"/>
    </row>
    <row r="31" spans="3:33" ht="15.75" x14ac:dyDescent="0.25">
      <c r="C31" s="1" t="s">
        <v>88</v>
      </c>
      <c r="D31" s="1" t="s">
        <v>90</v>
      </c>
      <c r="E31" s="147" t="s">
        <v>2</v>
      </c>
      <c r="F31" s="147"/>
      <c r="G31" s="147"/>
      <c r="H31" s="147"/>
      <c r="I31" s="147"/>
      <c r="L31">
        <f>37.682/27.256</f>
        <v>1.3825212797182271</v>
      </c>
      <c r="T31" s="1"/>
      <c r="U31" s="1" t="s">
        <v>91</v>
      </c>
      <c r="V31" s="1">
        <v>1</v>
      </c>
      <c r="W31" s="1">
        <v>2</v>
      </c>
      <c r="X31" s="1">
        <v>3</v>
      </c>
      <c r="Y31" s="1" t="s">
        <v>9</v>
      </c>
      <c r="Z31" s="1" t="s">
        <v>10</v>
      </c>
      <c r="AA31" s="1"/>
      <c r="AB31" s="1"/>
    </row>
    <row r="32" spans="3:33" ht="15.75" x14ac:dyDescent="0.25">
      <c r="C32" s="142" t="s">
        <v>89</v>
      </c>
      <c r="D32" s="1"/>
      <c r="E32" s="1">
        <v>1</v>
      </c>
      <c r="F32" s="1">
        <v>2</v>
      </c>
      <c r="G32" s="1">
        <v>3</v>
      </c>
      <c r="H32" s="24" t="s">
        <v>9</v>
      </c>
      <c r="I32" s="24" t="s">
        <v>10</v>
      </c>
      <c r="L32">
        <f>37.682/15.887</f>
        <v>2.3718763769119406</v>
      </c>
      <c r="T32" s="1"/>
      <c r="U32" s="1">
        <v>0</v>
      </c>
      <c r="V32" s="1">
        <v>3.2568195259999998E-3</v>
      </c>
      <c r="W32" s="1">
        <v>6.8952312559999998E-3</v>
      </c>
      <c r="X32" s="1">
        <v>1.2568395259999999E-3</v>
      </c>
      <c r="Y32" s="55">
        <f>AVERAGE(V32:X32)</f>
        <v>3.8029634359999995E-3</v>
      </c>
      <c r="Z32" s="17">
        <f>_xlfn.STDEV.S(V32:X32)</f>
        <v>2.8585958446509479E-3</v>
      </c>
      <c r="AA32" s="1"/>
      <c r="AB32" s="1"/>
    </row>
    <row r="33" spans="3:28" ht="15.75" x14ac:dyDescent="0.25">
      <c r="C33" s="1"/>
      <c r="D33" s="1">
        <v>0</v>
      </c>
      <c r="E33" s="1">
        <v>3.1256895260000001E-3</v>
      </c>
      <c r="F33" s="1">
        <v>3.1256895260000001E-3</v>
      </c>
      <c r="G33" s="1">
        <v>3.1256895260000001E-3</v>
      </c>
      <c r="H33" s="55">
        <f>AVERAGE(E33:G33)</f>
        <v>3.1256895260000001E-3</v>
      </c>
      <c r="I33" s="17">
        <f>_xlfn.STDEV.S(E33:G33)</f>
        <v>0</v>
      </c>
      <c r="T33" s="1"/>
      <c r="U33" s="1">
        <v>2.5999999999999999E-2</v>
      </c>
      <c r="V33" s="1">
        <v>0.47553333494266781</v>
      </c>
      <c r="W33" s="1">
        <v>0.45641716676840005</v>
      </c>
      <c r="X33" s="1">
        <v>0.47273937000000288</v>
      </c>
      <c r="Y33" s="56">
        <f t="shared" ref="Y33:Y38" si="9">AVERAGE(V33:X33)</f>
        <v>0.4682299572370236</v>
      </c>
      <c r="Z33" s="13">
        <f t="shared" ref="Z33:Z38" si="10">_xlfn.STDEV.S(V33:X33)</f>
        <v>1.0325118595779533E-2</v>
      </c>
      <c r="AA33" s="1"/>
      <c r="AB33" s="1"/>
    </row>
    <row r="34" spans="3:28" ht="15.75" x14ac:dyDescent="0.25">
      <c r="C34" s="1"/>
      <c r="D34" s="1">
        <v>8.5630407616780731E-4</v>
      </c>
      <c r="E34" s="1">
        <v>0.50197334993395004</v>
      </c>
      <c r="F34" s="1">
        <v>0.49871569999999998</v>
      </c>
      <c r="G34" s="1">
        <v>0.51741899999999996</v>
      </c>
      <c r="H34" s="56">
        <f t="shared" ref="H34:H41" si="11">AVERAGE(E34:G34)</f>
        <v>0.50603601664465003</v>
      </c>
      <c r="I34" s="13">
        <f t="shared" ref="I34:I41" si="12">_xlfn.STDEV.S(E34:G34)</f>
        <v>9.991611647986124E-3</v>
      </c>
      <c r="T34" s="1"/>
      <c r="U34" s="1">
        <v>5.1999999999999998E-2</v>
      </c>
      <c r="V34" s="1">
        <v>0.66063524000000129</v>
      </c>
      <c r="W34" s="1">
        <v>0.6836839399999981</v>
      </c>
      <c r="X34" s="1">
        <v>0.68964440999999965</v>
      </c>
      <c r="Y34" s="56">
        <f t="shared" si="9"/>
        <v>0.67798786333333305</v>
      </c>
      <c r="Z34" s="13">
        <f t="shared" si="10"/>
        <v>1.5320474962173859E-2</v>
      </c>
      <c r="AA34" s="1"/>
      <c r="AB34" s="1"/>
    </row>
    <row r="35" spans="3:28" ht="15.75" x14ac:dyDescent="0.25">
      <c r="C35" s="1"/>
      <c r="D35" s="1">
        <v>7.0559999999999998E-2</v>
      </c>
      <c r="E35" s="1">
        <v>2.2016466976193811</v>
      </c>
      <c r="F35" s="1">
        <v>2.0716790899999999</v>
      </c>
      <c r="G35" s="1">
        <v>2.2839275100000016</v>
      </c>
      <c r="H35" s="56">
        <f t="shared" si="11"/>
        <v>2.185751099206461</v>
      </c>
      <c r="I35" s="13">
        <f t="shared" si="12"/>
        <v>0.10701331919346722</v>
      </c>
      <c r="T35" s="1"/>
      <c r="U35" s="1">
        <v>0.1353</v>
      </c>
      <c r="V35" s="1">
        <v>3.5869891099327411</v>
      </c>
      <c r="W35" s="1">
        <v>3.2357873461119802</v>
      </c>
      <c r="X35" s="1">
        <v>3.4349901952535014</v>
      </c>
      <c r="Y35" s="56">
        <f t="shared" si="9"/>
        <v>3.4192555504327409</v>
      </c>
      <c r="Z35" s="13">
        <f t="shared" si="10"/>
        <v>0.17612879950033727</v>
      </c>
      <c r="AA35" s="1"/>
      <c r="AB35" s="1"/>
    </row>
    <row r="36" spans="3:28" ht="15.75" x14ac:dyDescent="0.25">
      <c r="C36" s="1"/>
      <c r="D36" s="1">
        <v>5.2000000000000005E-2</v>
      </c>
      <c r="E36" s="1">
        <v>1.4218471897749723</v>
      </c>
      <c r="F36" s="1">
        <v>1.5441329207499521</v>
      </c>
      <c r="G36" s="1">
        <v>1.5051314833837992</v>
      </c>
      <c r="H36" s="56">
        <f t="shared" si="11"/>
        <v>1.4903705313029079</v>
      </c>
      <c r="I36" s="13">
        <f t="shared" si="12"/>
        <v>6.2464904384558734E-2</v>
      </c>
      <c r="K36" s="1" t="s">
        <v>73</v>
      </c>
      <c r="L36" s="1" t="s">
        <v>56</v>
      </c>
      <c r="M36" s="1"/>
      <c r="N36" s="1"/>
      <c r="O36" s="1"/>
      <c r="P36" s="1"/>
      <c r="Q36" s="1"/>
      <c r="R36" s="1"/>
      <c r="T36" s="1"/>
      <c r="U36" s="1">
        <v>0.2596</v>
      </c>
      <c r="V36" s="1">
        <v>6.3096176868449199</v>
      </c>
      <c r="W36" s="1">
        <v>6.4903874093525076</v>
      </c>
      <c r="X36" s="1">
        <v>6.2036720635695985</v>
      </c>
      <c r="Y36" s="56">
        <f t="shared" si="9"/>
        <v>6.334559053255675</v>
      </c>
      <c r="Z36" s="13">
        <f t="shared" si="10"/>
        <v>0.14497577796197525</v>
      </c>
      <c r="AA36" s="1"/>
      <c r="AB36" s="1"/>
    </row>
    <row r="37" spans="3:28" ht="15.75" x14ac:dyDescent="0.25">
      <c r="C37" s="1"/>
      <c r="D37" s="1">
        <v>2.7459999999999998E-2</v>
      </c>
      <c r="E37" s="1">
        <v>1.1963770506606544</v>
      </c>
      <c r="F37" s="1">
        <v>1.3733493312209468</v>
      </c>
      <c r="G37" s="1">
        <v>1.2702278655903143</v>
      </c>
      <c r="H37" s="56">
        <f t="shared" si="11"/>
        <v>1.2799847491573051</v>
      </c>
      <c r="I37" s="13">
        <f t="shared" si="12"/>
        <v>8.88886640938122E-2</v>
      </c>
      <c r="K37" s="1"/>
      <c r="L37" s="1" t="s">
        <v>57</v>
      </c>
      <c r="M37" s="1">
        <v>6</v>
      </c>
      <c r="N37" s="1"/>
      <c r="O37" s="1"/>
      <c r="P37" s="1"/>
      <c r="Q37" s="1"/>
      <c r="R37" s="1"/>
      <c r="T37" s="1"/>
      <c r="U37" s="1">
        <v>0.39060000000000006</v>
      </c>
      <c r="V37" s="1">
        <v>8.802527862937886</v>
      </c>
      <c r="W37" s="1">
        <v>8.7575869415752017</v>
      </c>
      <c r="X37" s="1">
        <v>8.655324647147939</v>
      </c>
      <c r="Y37" s="56">
        <f t="shared" si="9"/>
        <v>8.7384798172203428</v>
      </c>
      <c r="Z37" s="13">
        <f t="shared" si="10"/>
        <v>7.5438772097373583E-2</v>
      </c>
      <c r="AA37" s="1"/>
      <c r="AB37" s="1"/>
    </row>
    <row r="38" spans="3:28" ht="16.5" x14ac:dyDescent="0.3">
      <c r="C38" s="1"/>
      <c r="D38" s="1">
        <v>0.1148</v>
      </c>
      <c r="E38" s="1">
        <v>3.68945608672243</v>
      </c>
      <c r="F38" s="1">
        <v>3.448345866700766</v>
      </c>
      <c r="G38" s="1">
        <v>4.2968974588452582</v>
      </c>
      <c r="H38" s="56">
        <f t="shared" si="11"/>
        <v>3.8115664707561514</v>
      </c>
      <c r="I38" s="13">
        <f t="shared" si="12"/>
        <v>0.43725640138182692</v>
      </c>
      <c r="K38" s="1"/>
      <c r="L38" s="1" t="s">
        <v>58</v>
      </c>
      <c r="M38" s="1">
        <v>3.14</v>
      </c>
      <c r="N38" s="1"/>
      <c r="O38" s="1"/>
      <c r="P38" s="1"/>
      <c r="Q38" s="1"/>
      <c r="R38" s="1"/>
      <c r="T38" s="1"/>
      <c r="U38" s="1">
        <v>0.54600000000000004</v>
      </c>
      <c r="V38" s="1">
        <v>11.452327010174248</v>
      </c>
      <c r="W38" s="1">
        <v>11.497309893209319</v>
      </c>
      <c r="X38" s="1">
        <v>11.66526625545416</v>
      </c>
      <c r="Y38" s="18">
        <f t="shared" si="9"/>
        <v>11.53830105294591</v>
      </c>
      <c r="Z38" s="15">
        <f t="shared" si="10"/>
        <v>0.11223184453401638</v>
      </c>
      <c r="AA38" s="1"/>
      <c r="AB38" s="1"/>
    </row>
    <row r="39" spans="3:28" ht="15.75" x14ac:dyDescent="0.25">
      <c r="C39" s="1"/>
      <c r="D39" s="1">
        <v>0.26200000000000001</v>
      </c>
      <c r="E39" s="1">
        <v>9.5408415520692849</v>
      </c>
      <c r="F39" s="1">
        <v>9.9892664247228034</v>
      </c>
      <c r="G39" s="1">
        <v>9.9458195236813705</v>
      </c>
      <c r="H39" s="56">
        <f t="shared" si="11"/>
        <v>9.8253091668244874</v>
      </c>
      <c r="I39" s="13">
        <f t="shared" si="12"/>
        <v>0.2473121027889886</v>
      </c>
      <c r="K39" s="1"/>
      <c r="L39" s="1" t="s">
        <v>59</v>
      </c>
      <c r="M39" s="1"/>
      <c r="N39" s="1">
        <f>3.14*M48</f>
        <v>2.4186763694909095E-3</v>
      </c>
      <c r="O39" s="1" t="s">
        <v>60</v>
      </c>
      <c r="P39" s="1"/>
      <c r="Q39" s="1"/>
      <c r="R39" s="1"/>
      <c r="T39" s="1"/>
      <c r="U39" s="1"/>
      <c r="V39" s="1"/>
      <c r="W39" s="1"/>
      <c r="X39" s="1"/>
      <c r="Y39" s="1"/>
      <c r="Z39" s="1"/>
      <c r="AA39" s="1"/>
      <c r="AB39" s="1"/>
    </row>
    <row r="40" spans="3:28" ht="15.75" x14ac:dyDescent="0.25">
      <c r="C40" s="1"/>
      <c r="D40" s="1">
        <v>0.40674937965260549</v>
      </c>
      <c r="E40" s="1">
        <v>15.551443972522502</v>
      </c>
      <c r="F40" s="1">
        <v>15.514938780152804</v>
      </c>
      <c r="G40" s="1">
        <v>15.814779722810897</v>
      </c>
      <c r="H40" s="56">
        <f t="shared" si="11"/>
        <v>15.627054158495403</v>
      </c>
      <c r="I40" s="13">
        <f t="shared" si="12"/>
        <v>0.16359652469006106</v>
      </c>
      <c r="K40" s="1"/>
      <c r="L40" s="122" t="s">
        <v>61</v>
      </c>
      <c r="M40" s="123" t="s">
        <v>2</v>
      </c>
      <c r="N40" s="124">
        <f>1000*N39/0.13</f>
        <v>18.605202842237766</v>
      </c>
      <c r="O40" s="124" t="s">
        <v>80</v>
      </c>
      <c r="P40" s="124"/>
      <c r="Q40" s="1"/>
      <c r="R40" s="1"/>
    </row>
    <row r="41" spans="3:28" ht="15.75" x14ac:dyDescent="0.25">
      <c r="C41" s="1"/>
      <c r="D41" s="1">
        <v>0.51200000000000001</v>
      </c>
      <c r="E41" s="1">
        <v>17.164943151976601</v>
      </c>
      <c r="F41" s="1">
        <v>18.093096668989698</v>
      </c>
      <c r="G41" s="1">
        <v>17.473310577049403</v>
      </c>
      <c r="H41" s="18">
        <f t="shared" si="11"/>
        <v>17.577116799338569</v>
      </c>
      <c r="I41" s="15">
        <f t="shared" si="12"/>
        <v>0.47270396298889428</v>
      </c>
      <c r="K41" s="1" t="s">
        <v>63</v>
      </c>
      <c r="L41" s="55">
        <f>(M41)/37.682</f>
        <v>1.3321303273020274E-2</v>
      </c>
      <c r="M41" s="17">
        <v>0.50197334993395004</v>
      </c>
      <c r="N41" s="1"/>
      <c r="O41" s="1"/>
      <c r="P41" s="1"/>
      <c r="Q41" s="1"/>
      <c r="R41" s="1"/>
    </row>
    <row r="42" spans="3:28" ht="15.75" x14ac:dyDescent="0.25">
      <c r="C42" s="1"/>
      <c r="D42" s="1"/>
      <c r="E42" s="1"/>
      <c r="F42" s="1"/>
      <c r="G42" s="1"/>
      <c r="H42" s="1"/>
      <c r="I42" s="1"/>
      <c r="K42" s="1" t="s">
        <v>64</v>
      </c>
      <c r="L42" s="55">
        <f t="shared" ref="L42:L47" si="13">(M42)/37.682</f>
        <v>1.3234852184066661E-2</v>
      </c>
      <c r="M42" s="13">
        <v>0.49871569999999998</v>
      </c>
      <c r="N42" s="1"/>
      <c r="O42" s="1"/>
      <c r="P42" s="1"/>
      <c r="Q42" s="1"/>
      <c r="R42" s="1"/>
    </row>
    <row r="43" spans="3:28" ht="15.75" x14ac:dyDescent="0.25">
      <c r="C43" s="1" t="s">
        <v>88</v>
      </c>
      <c r="D43" s="1" t="s">
        <v>90</v>
      </c>
      <c r="E43" s="147" t="s">
        <v>2</v>
      </c>
      <c r="F43" s="147"/>
      <c r="G43" s="147"/>
      <c r="H43" s="147"/>
      <c r="I43" s="147"/>
      <c r="K43" s="1" t="s">
        <v>65</v>
      </c>
      <c r="L43" s="55">
        <f t="shared" si="13"/>
        <v>1.1377896608460272E-2</v>
      </c>
      <c r="M43" s="13">
        <v>0.42874190000000001</v>
      </c>
      <c r="N43" s="1" t="s">
        <v>81</v>
      </c>
      <c r="O43" s="1"/>
      <c r="P43" s="1"/>
      <c r="Q43" s="1"/>
      <c r="R43" s="1"/>
    </row>
    <row r="44" spans="3:28" ht="15.75" x14ac:dyDescent="0.25">
      <c r="C44" s="142" t="s">
        <v>91</v>
      </c>
      <c r="D44" s="1"/>
      <c r="E44" s="1">
        <v>1</v>
      </c>
      <c r="F44" s="1">
        <v>2</v>
      </c>
      <c r="G44" s="1">
        <v>3</v>
      </c>
      <c r="H44" s="24" t="s">
        <v>9</v>
      </c>
      <c r="I44" s="24" t="s">
        <v>10</v>
      </c>
      <c r="K44" s="1" t="s">
        <v>66</v>
      </c>
      <c r="L44" s="55">
        <f t="shared" si="13"/>
        <v>1.2566259752667055E-2</v>
      </c>
      <c r="M44" s="13">
        <v>0.47352179999999999</v>
      </c>
      <c r="N44" s="1">
        <f>AVERAGE(M41:M47)</f>
        <v>0.48058662141913572</v>
      </c>
      <c r="O44" s="1">
        <f>N44/0.0315749</f>
        <v>15.220527109163788</v>
      </c>
      <c r="P44" s="1"/>
      <c r="Q44" s="1"/>
      <c r="R44" s="1"/>
    </row>
    <row r="45" spans="3:28" ht="15.75" x14ac:dyDescent="0.25">
      <c r="C45" s="1"/>
      <c r="D45" s="1">
        <v>0</v>
      </c>
      <c r="E45" s="1">
        <v>3.2568195259999998E-3</v>
      </c>
      <c r="F45" s="1">
        <v>6.8952312559999998E-3</v>
      </c>
      <c r="G45" s="1">
        <v>1.2568395259999999E-3</v>
      </c>
      <c r="H45" s="55">
        <f>AVERAGE(E45:G45)</f>
        <v>3.8029634359999995E-3</v>
      </c>
      <c r="I45" s="17">
        <f>_xlfn.STDEV.S(E45:G45)</f>
        <v>2.8585958446509479E-3</v>
      </c>
      <c r="K45" s="1" t="s">
        <v>67</v>
      </c>
      <c r="L45" s="55">
        <f t="shared" si="13"/>
        <v>1.2433514675441855E-2</v>
      </c>
      <c r="M45" s="13">
        <v>0.46851969999999998</v>
      </c>
      <c r="N45" s="1"/>
      <c r="O45" s="1"/>
      <c r="P45" s="1"/>
      <c r="Q45" s="1"/>
      <c r="R45" s="1"/>
    </row>
    <row r="46" spans="3:28" ht="15.75" x14ac:dyDescent="0.25">
      <c r="C46" s="1"/>
      <c r="D46" s="1">
        <v>8.5630407616780731E-4</v>
      </c>
      <c r="E46" s="1">
        <v>0.33695252757982175</v>
      </c>
      <c r="F46" s="1">
        <v>0.37982236952527498</v>
      </c>
      <c r="G46" s="1">
        <v>0.32369757982525199</v>
      </c>
      <c r="H46" s="56">
        <f t="shared" ref="H46:H53" si="14">AVERAGE(E46:G46)</f>
        <v>0.34682415897678287</v>
      </c>
      <c r="I46" s="13">
        <f t="shared" ref="I46:I53" si="15">_xlfn.STDEV.S(E46:G46)</f>
        <v>2.9335726248825911E-2</v>
      </c>
      <c r="K46" s="1" t="s">
        <v>68</v>
      </c>
      <c r="L46" s="55">
        <f t="shared" si="13"/>
        <v>1.3731197919431027E-2</v>
      </c>
      <c r="M46" s="13">
        <v>0.51741899999999996</v>
      </c>
      <c r="N46" s="1"/>
      <c r="O46" s="1"/>
      <c r="P46" s="1"/>
      <c r="Q46" s="1"/>
      <c r="R46" s="1"/>
    </row>
    <row r="47" spans="3:28" ht="15.75" x14ac:dyDescent="0.25">
      <c r="C47" s="1"/>
      <c r="D47" s="1">
        <v>7.0559999999999998E-2</v>
      </c>
      <c r="E47" s="1">
        <v>1.7399419599999995</v>
      </c>
      <c r="F47" s="1">
        <v>1.7044585800000007</v>
      </c>
      <c r="G47" s="1">
        <v>1.6601276200000008</v>
      </c>
      <c r="H47" s="56">
        <f t="shared" si="14"/>
        <v>1.7015093866666671</v>
      </c>
      <c r="I47" s="13">
        <f t="shared" si="15"/>
        <v>3.9988817479351416E-2</v>
      </c>
      <c r="K47" s="1" t="s">
        <v>69</v>
      </c>
      <c r="L47" s="19">
        <f t="shared" si="13"/>
        <v>1.2611191019584947E-2</v>
      </c>
      <c r="M47" s="15">
        <v>0.4752149</v>
      </c>
      <c r="N47" s="1"/>
      <c r="O47" s="1"/>
      <c r="P47" s="1"/>
      <c r="Q47" s="1"/>
      <c r="R47" s="1"/>
    </row>
    <row r="48" spans="3:28" ht="15.75" x14ac:dyDescent="0.25">
      <c r="C48" s="1"/>
      <c r="D48" s="1">
        <v>5.2000000000000005E-2</v>
      </c>
      <c r="E48" s="1">
        <v>1.2911856899999989</v>
      </c>
      <c r="F48" s="1">
        <v>1.3614074207191109</v>
      </c>
      <c r="G48" s="1">
        <v>1.2698312860626473</v>
      </c>
      <c r="H48" s="56">
        <f t="shared" si="14"/>
        <v>1.3074747989272524</v>
      </c>
      <c r="I48" s="13">
        <f t="shared" si="15"/>
        <v>4.7911881740207572E-2</v>
      </c>
      <c r="K48" s="1"/>
      <c r="L48" s="1" t="s">
        <v>70</v>
      </c>
      <c r="M48" s="1">
        <f>_xlfn.STDEV.S(L41:L47)</f>
        <v>7.7027909856398392E-4</v>
      </c>
      <c r="N48" s="1" t="s">
        <v>59</v>
      </c>
      <c r="O48" s="1"/>
      <c r="P48" s="1">
        <f>3.14*M57</f>
        <v>2.9516256477535121E-3</v>
      </c>
      <c r="Q48" s="1"/>
      <c r="R48" s="1"/>
    </row>
    <row r="49" spans="3:18" ht="15.75" x14ac:dyDescent="0.25">
      <c r="C49" s="1"/>
      <c r="D49" s="1">
        <v>2.7459999999999998E-2</v>
      </c>
      <c r="E49" s="1">
        <v>0.76983128606264728</v>
      </c>
      <c r="F49" s="1">
        <v>0.72424150849829161</v>
      </c>
      <c r="G49" s="1">
        <v>0.83735217674686169</v>
      </c>
      <c r="H49" s="56">
        <f t="shared" si="14"/>
        <v>0.77714165710260019</v>
      </c>
      <c r="I49" s="13">
        <f t="shared" si="15"/>
        <v>5.6908584251111505E-2</v>
      </c>
      <c r="K49" s="1"/>
      <c r="L49" s="122" t="s">
        <v>71</v>
      </c>
      <c r="M49" s="123" t="s">
        <v>2</v>
      </c>
      <c r="N49" s="124" t="s">
        <v>71</v>
      </c>
      <c r="O49" s="124"/>
      <c r="P49" s="124">
        <f>1000*P48/0.13</f>
        <v>22.704812675027014</v>
      </c>
      <c r="Q49" s="124" t="s">
        <v>82</v>
      </c>
      <c r="R49" s="124"/>
    </row>
    <row r="50" spans="3:18" ht="15.75" x14ac:dyDescent="0.25">
      <c r="C50" s="1"/>
      <c r="D50" s="1">
        <v>0.1148</v>
      </c>
      <c r="E50" s="1">
        <v>3.1979407645246987</v>
      </c>
      <c r="F50" s="1">
        <v>3.4241550221535633</v>
      </c>
      <c r="G50" s="1">
        <v>3.4327244004572997</v>
      </c>
      <c r="H50" s="56">
        <f t="shared" si="14"/>
        <v>3.3516067290451872</v>
      </c>
      <c r="I50" s="13">
        <f t="shared" si="15"/>
        <v>0.13314758747396502</v>
      </c>
      <c r="K50" s="1" t="s">
        <v>63</v>
      </c>
      <c r="L50" s="55">
        <f>(M50)/27.256</f>
        <v>2.3352123658772379E-2</v>
      </c>
      <c r="M50" s="17">
        <v>0.63648548244350001</v>
      </c>
      <c r="N50" s="1"/>
      <c r="O50" s="1"/>
      <c r="P50" s="1"/>
      <c r="Q50" s="1"/>
      <c r="R50" s="1"/>
    </row>
    <row r="51" spans="3:18" ht="15.75" x14ac:dyDescent="0.25">
      <c r="C51" s="1"/>
      <c r="D51" s="1">
        <v>0.26200000000000001</v>
      </c>
      <c r="E51" s="1">
        <v>8.830364637929403</v>
      </c>
      <c r="F51" s="1">
        <v>8.469527257620701</v>
      </c>
      <c r="G51" s="1">
        <v>8.5925685314725335</v>
      </c>
      <c r="H51" s="56">
        <f t="shared" si="14"/>
        <v>8.6308201423408786</v>
      </c>
      <c r="I51" s="13">
        <f t="shared" si="15"/>
        <v>0.18343471061260244</v>
      </c>
      <c r="K51" s="1" t="s">
        <v>64</v>
      </c>
      <c r="L51" s="55">
        <f t="shared" ref="L51:L56" si="16">(M51)/27.256</f>
        <v>2.1542005429997065E-2</v>
      </c>
      <c r="M51" s="13">
        <v>0.58714889999999997</v>
      </c>
      <c r="N51" s="1"/>
      <c r="O51" s="1"/>
      <c r="P51" s="1"/>
      <c r="Q51" s="1"/>
      <c r="R51" s="1"/>
    </row>
    <row r="52" spans="3:18" ht="15.75" x14ac:dyDescent="0.25">
      <c r="C52" s="1"/>
      <c r="D52" s="1">
        <v>0.40674937965260549</v>
      </c>
      <c r="E52" s="1">
        <v>11.719857109776587</v>
      </c>
      <c r="F52" s="1">
        <v>11.877245722844993</v>
      </c>
      <c r="G52" s="1">
        <v>11.919414943118198</v>
      </c>
      <c r="H52" s="56">
        <f t="shared" si="14"/>
        <v>11.838839258579926</v>
      </c>
      <c r="I52" s="13">
        <f t="shared" si="15"/>
        <v>0.10517663516678724</v>
      </c>
      <c r="K52" s="1" t="s">
        <v>65</v>
      </c>
      <c r="L52" s="55">
        <f t="shared" si="16"/>
        <v>2.3329688875843854E-2</v>
      </c>
      <c r="M52" s="13">
        <v>0.63587400000000005</v>
      </c>
      <c r="N52" s="1" t="s">
        <v>81</v>
      </c>
      <c r="O52" s="1"/>
      <c r="P52" s="1"/>
      <c r="Q52" s="1"/>
      <c r="R52" s="1"/>
    </row>
    <row r="53" spans="3:18" ht="15.75" x14ac:dyDescent="0.25">
      <c r="C53" s="1"/>
      <c r="D53" s="1">
        <v>0.51200000000000001</v>
      </c>
      <c r="E53" s="1">
        <v>15.110709673804624</v>
      </c>
      <c r="F53" s="1">
        <v>13.654214212549569</v>
      </c>
      <c r="G53" s="1">
        <v>15.7974297781521</v>
      </c>
      <c r="H53" s="18">
        <f t="shared" si="14"/>
        <v>14.854117888168764</v>
      </c>
      <c r="I53" s="15">
        <f t="shared" si="15"/>
        <v>1.0944052030679012</v>
      </c>
      <c r="K53" s="1" t="s">
        <v>66</v>
      </c>
      <c r="L53" s="55">
        <f t="shared" si="16"/>
        <v>2.3950106398591135E-2</v>
      </c>
      <c r="M53" s="13">
        <v>0.65278409999999998</v>
      </c>
      <c r="N53" s="1">
        <f>AVERAGE(M50:M56)</f>
        <v>0.61898191320621432</v>
      </c>
      <c r="O53" s="1">
        <f>N53/0.0315749</f>
        <v>19.603606447089753</v>
      </c>
      <c r="P53" s="1"/>
      <c r="Q53" s="1"/>
      <c r="R53" s="1"/>
    </row>
    <row r="54" spans="3:18" ht="15.75" x14ac:dyDescent="0.25">
      <c r="K54" s="1" t="s">
        <v>67</v>
      </c>
      <c r="L54" s="55">
        <f t="shared" si="16"/>
        <v>2.1723785588494277E-2</v>
      </c>
      <c r="M54" s="13">
        <v>0.5921035</v>
      </c>
      <c r="N54" s="1"/>
      <c r="O54" s="1"/>
      <c r="P54" s="1"/>
      <c r="Q54" s="1"/>
      <c r="R54" s="1"/>
    </row>
    <row r="55" spans="3:18" ht="15.75" x14ac:dyDescent="0.25">
      <c r="K55" s="1" t="s">
        <v>68</v>
      </c>
      <c r="L55" s="55">
        <f t="shared" si="16"/>
        <v>2.2002032946874084E-2</v>
      </c>
      <c r="M55" s="13">
        <v>0.59968741000000003</v>
      </c>
      <c r="N55" s="1"/>
      <c r="O55" s="1"/>
      <c r="P55" s="1"/>
      <c r="Q55" s="1"/>
      <c r="R55" s="1"/>
    </row>
    <row r="56" spans="3:18" ht="15.75" x14ac:dyDescent="0.25">
      <c r="K56" s="1" t="s">
        <v>69</v>
      </c>
      <c r="L56" s="19">
        <f t="shared" si="16"/>
        <v>2.3069782800117403E-2</v>
      </c>
      <c r="M56" s="15">
        <v>0.62878999999999996</v>
      </c>
      <c r="N56" s="1"/>
      <c r="O56" s="1"/>
      <c r="P56" s="1"/>
      <c r="Q56" s="1"/>
      <c r="R56" s="1"/>
    </row>
    <row r="57" spans="3:18" ht="15.75" x14ac:dyDescent="0.25">
      <c r="K57" s="1"/>
      <c r="L57" s="1" t="s">
        <v>70</v>
      </c>
      <c r="M57" s="1">
        <f>_xlfn.STDEV.S(L50:L56)</f>
        <v>9.4000816807436691E-4</v>
      </c>
      <c r="N57" s="1" t="s">
        <v>59</v>
      </c>
      <c r="O57" s="1"/>
      <c r="P57" s="1">
        <f>3.14*M66</f>
        <v>4.1803805885067165E-3</v>
      </c>
      <c r="Q57" s="1"/>
      <c r="R57" s="1"/>
    </row>
    <row r="58" spans="3:18" ht="15.75" x14ac:dyDescent="0.25">
      <c r="K58" s="1"/>
      <c r="L58" s="122" t="s">
        <v>27</v>
      </c>
      <c r="M58" s="123" t="s">
        <v>2</v>
      </c>
      <c r="N58" s="124" t="s">
        <v>72</v>
      </c>
      <c r="O58" s="124"/>
      <c r="P58" s="124">
        <f>1000*P57/0.13</f>
        <v>32.15677375774397</v>
      </c>
      <c r="Q58" s="124" t="s">
        <v>83</v>
      </c>
      <c r="R58" s="124"/>
    </row>
    <row r="59" spans="3:18" ht="15.75" x14ac:dyDescent="0.25">
      <c r="K59" s="1" t="s">
        <v>63</v>
      </c>
      <c r="L59" s="55">
        <f>(M59)/15.887</f>
        <v>4.4329559388179014E-2</v>
      </c>
      <c r="M59" s="17">
        <v>0.70426370999999999</v>
      </c>
      <c r="N59" s="1"/>
      <c r="O59" s="1"/>
      <c r="P59" s="1"/>
      <c r="Q59" s="1"/>
      <c r="R59" s="1"/>
    </row>
    <row r="60" spans="3:18" ht="15.75" x14ac:dyDescent="0.25">
      <c r="K60" s="1" t="s">
        <v>64</v>
      </c>
      <c r="L60" s="55">
        <f t="shared" ref="L60:L65" si="17">(M60)/15.887</f>
        <v>4.5770630074904006E-2</v>
      </c>
      <c r="M60" s="13">
        <v>0.72715799999999997</v>
      </c>
      <c r="N60" s="1"/>
      <c r="O60" s="1"/>
      <c r="P60" s="1"/>
      <c r="Q60" s="1"/>
      <c r="R60" s="1"/>
    </row>
    <row r="61" spans="3:18" ht="15.75" x14ac:dyDescent="0.25">
      <c r="K61" s="1" t="s">
        <v>65</v>
      </c>
      <c r="L61" s="55">
        <f t="shared" si="17"/>
        <v>4.3657543903820734E-2</v>
      </c>
      <c r="M61" s="13">
        <v>0.69358739999999997</v>
      </c>
      <c r="N61" s="1" t="s">
        <v>81</v>
      </c>
      <c r="O61" s="1"/>
      <c r="P61" s="1"/>
      <c r="Q61" s="1"/>
      <c r="R61" s="1"/>
    </row>
    <row r="62" spans="3:18" ht="15.75" x14ac:dyDescent="0.25">
      <c r="K62" s="1" t="s">
        <v>66</v>
      </c>
      <c r="L62" s="55">
        <f t="shared" si="17"/>
        <v>4.4853278151948138E-2</v>
      </c>
      <c r="M62" s="13">
        <v>0.71258403000000003</v>
      </c>
      <c r="N62" s="1">
        <f>AVERAGE(M59:M65)</f>
        <v>0.71304692571428574</v>
      </c>
      <c r="O62" s="1">
        <f>N62/0.0315749</f>
        <v>22.582713665420499</v>
      </c>
      <c r="P62" s="1"/>
      <c r="Q62" s="1"/>
      <c r="R62" s="1"/>
    </row>
    <row r="63" spans="3:18" ht="15.75" x14ac:dyDescent="0.25">
      <c r="K63" s="1" t="s">
        <v>67</v>
      </c>
      <c r="L63" s="55">
        <f t="shared" si="17"/>
        <v>4.2973437401649141E-2</v>
      </c>
      <c r="M63" s="13">
        <v>0.68271899999999996</v>
      </c>
      <c r="N63" s="1"/>
      <c r="O63" s="1"/>
      <c r="P63" s="1"/>
      <c r="Q63" s="1"/>
      <c r="R63" s="1"/>
    </row>
    <row r="64" spans="3:18" ht="15.75" x14ac:dyDescent="0.25">
      <c r="K64" s="1" t="s">
        <v>68</v>
      </c>
      <c r="L64" s="55">
        <f t="shared" si="17"/>
        <v>4.6741759929502108E-2</v>
      </c>
      <c r="M64" s="13">
        <v>0.74258634000000001</v>
      </c>
      <c r="N64" s="1"/>
      <c r="O64" s="1"/>
      <c r="P64" s="1"/>
      <c r="Q64" s="1"/>
      <c r="R64" s="1"/>
    </row>
    <row r="65" spans="11:18" ht="15.75" x14ac:dyDescent="0.25">
      <c r="K65" s="1" t="s">
        <v>69</v>
      </c>
      <c r="L65" s="19">
        <f t="shared" si="17"/>
        <v>4.58506955372317E-2</v>
      </c>
      <c r="M65" s="15">
        <v>0.72843000000000002</v>
      </c>
      <c r="N65" s="1"/>
      <c r="O65" s="1"/>
      <c r="P65" s="1"/>
      <c r="Q65" s="1"/>
      <c r="R65" s="1"/>
    </row>
    <row r="66" spans="11:18" ht="15.75" x14ac:dyDescent="0.25">
      <c r="K66" s="1"/>
      <c r="L66" s="1" t="s">
        <v>70</v>
      </c>
      <c r="M66" s="1">
        <f>_xlfn.STDEV.S(L59:L65)</f>
        <v>1.331331397613604E-3</v>
      </c>
      <c r="N66" s="1"/>
      <c r="O66" s="87">
        <v>18.605202842237766</v>
      </c>
      <c r="P66" s="1"/>
      <c r="Q66" s="1"/>
      <c r="R66" s="1"/>
    </row>
    <row r="67" spans="11:18" x14ac:dyDescent="0.15">
      <c r="O67" s="87">
        <v>22.704812675027014</v>
      </c>
    </row>
    <row r="68" spans="11:18" x14ac:dyDescent="0.15">
      <c r="O68" s="87">
        <v>32.15677375774397</v>
      </c>
    </row>
  </sheetData>
  <mergeCells count="2">
    <mergeCell ref="E31:I31"/>
    <mergeCell ref="E43:I43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10"/>
  <sheetViews>
    <sheetView topLeftCell="A73" workbookViewId="0">
      <selection activeCell="L87" sqref="L87"/>
    </sheetView>
  </sheetViews>
  <sheetFormatPr defaultRowHeight="15" x14ac:dyDescent="0.15"/>
  <cols>
    <col min="1" max="1" width="9" style="2"/>
    <col min="2" max="2" width="17.625" style="2" customWidth="1"/>
    <col min="3" max="12" width="9" style="2"/>
    <col min="13" max="13" width="14.375" style="2" customWidth="1"/>
    <col min="14" max="22" width="9" style="2"/>
    <col min="23" max="23" width="11.375" style="2" customWidth="1"/>
    <col min="24" max="16384" width="9" style="2"/>
  </cols>
  <sheetData>
    <row r="2" spans="1:35" x14ac:dyDescent="0.15">
      <c r="A2" s="2" t="s">
        <v>93</v>
      </c>
      <c r="B2" s="2" t="s">
        <v>94</v>
      </c>
    </row>
    <row r="3" spans="1:35" x14ac:dyDescent="0.25">
      <c r="B3" s="55"/>
      <c r="C3" s="55" t="s">
        <v>2</v>
      </c>
      <c r="D3" s="58"/>
      <c r="E3" s="58"/>
      <c r="F3" s="16"/>
      <c r="H3" s="17"/>
      <c r="I3" s="55" t="s">
        <v>20</v>
      </c>
      <c r="J3" s="16"/>
      <c r="K3" s="17"/>
      <c r="M3" s="57"/>
      <c r="N3" s="57" t="s">
        <v>2</v>
      </c>
      <c r="O3" s="58"/>
      <c r="P3" s="58"/>
      <c r="Q3" s="58"/>
      <c r="R3" s="59"/>
      <c r="S3" s="57" t="s">
        <v>2</v>
      </c>
      <c r="T3" s="58"/>
      <c r="U3" s="59"/>
      <c r="W3" s="57"/>
      <c r="X3" s="57" t="s">
        <v>2</v>
      </c>
      <c r="Y3" s="58"/>
      <c r="Z3" s="58"/>
      <c r="AA3" s="58"/>
      <c r="AB3" s="59"/>
      <c r="AC3" s="57" t="s">
        <v>2</v>
      </c>
      <c r="AD3" s="58"/>
      <c r="AE3" s="59"/>
    </row>
    <row r="4" spans="1:35" x14ac:dyDescent="0.25">
      <c r="A4" s="2" t="s">
        <v>87</v>
      </c>
      <c r="B4" s="92" t="s">
        <v>33</v>
      </c>
      <c r="C4" s="56" t="s">
        <v>15</v>
      </c>
      <c r="D4" s="3" t="s">
        <v>10</v>
      </c>
      <c r="E4" s="3" t="s">
        <v>42</v>
      </c>
      <c r="F4" s="12" t="s">
        <v>30</v>
      </c>
      <c r="G4" s="3" t="s">
        <v>10</v>
      </c>
      <c r="H4" s="14" t="s">
        <v>16</v>
      </c>
      <c r="I4" s="76" t="s">
        <v>15</v>
      </c>
      <c r="J4" s="77" t="s">
        <v>30</v>
      </c>
      <c r="K4" s="15" t="s">
        <v>16</v>
      </c>
      <c r="M4" s="70" t="s">
        <v>22</v>
      </c>
      <c r="N4" s="73" t="s">
        <v>15</v>
      </c>
      <c r="O4" s="3" t="s">
        <v>10</v>
      </c>
      <c r="P4" s="74" t="s">
        <v>30</v>
      </c>
      <c r="Q4" s="3" t="s">
        <v>10</v>
      </c>
      <c r="R4" s="64" t="s">
        <v>16</v>
      </c>
      <c r="S4" s="73" t="s">
        <v>15</v>
      </c>
      <c r="T4" s="74" t="s">
        <v>30</v>
      </c>
      <c r="U4" s="64" t="s">
        <v>16</v>
      </c>
      <c r="W4" s="70" t="s">
        <v>23</v>
      </c>
      <c r="X4" s="73" t="s">
        <v>15</v>
      </c>
      <c r="Y4" s="74"/>
      <c r="Z4" s="74" t="s">
        <v>30</v>
      </c>
      <c r="AA4" s="74"/>
      <c r="AB4" s="64" t="s">
        <v>16</v>
      </c>
      <c r="AC4" s="62" t="s">
        <v>15</v>
      </c>
      <c r="AD4" s="14" t="s">
        <v>30</v>
      </c>
      <c r="AE4" s="64" t="s">
        <v>16</v>
      </c>
    </row>
    <row r="5" spans="1:35" x14ac:dyDescent="0.25">
      <c r="A5" s="2">
        <f>0</f>
        <v>0</v>
      </c>
      <c r="B5" s="118">
        <v>0</v>
      </c>
      <c r="C5" s="66">
        <v>1.1646008733333322</v>
      </c>
      <c r="D5" s="8">
        <v>2.8211116387284709E-2</v>
      </c>
      <c r="E5" s="103">
        <f>100*(D5/C5)</f>
        <v>2.4223849589377835</v>
      </c>
      <c r="F5" s="67">
        <v>1.3481736000000015</v>
      </c>
      <c r="G5" s="3">
        <v>1.8375351391190273E-2</v>
      </c>
      <c r="H5" s="12">
        <v>1.6263052376714999</v>
      </c>
      <c r="I5" s="65">
        <v>0</v>
      </c>
      <c r="J5" s="69">
        <v>0</v>
      </c>
      <c r="K5" s="13">
        <v>0</v>
      </c>
      <c r="M5" s="70">
        <v>0</v>
      </c>
      <c r="N5" s="71">
        <v>1.1646008733333322</v>
      </c>
      <c r="O5" s="8">
        <v>2.8211116387284709E-2</v>
      </c>
      <c r="P5" s="67">
        <v>1.3481736000000015</v>
      </c>
      <c r="Q5" s="8">
        <v>1.8375351391190273E-2</v>
      </c>
      <c r="R5" s="61">
        <v>1.6263052376714999</v>
      </c>
      <c r="S5" s="85">
        <v>0</v>
      </c>
      <c r="T5" s="86">
        <v>0</v>
      </c>
      <c r="U5" s="59">
        <f>R5-$R$5</f>
        <v>0</v>
      </c>
      <c r="W5" s="70">
        <v>0</v>
      </c>
      <c r="X5" s="70">
        <v>1.1646008733333322</v>
      </c>
      <c r="Y5" s="95">
        <v>2.8211116387284709E-2</v>
      </c>
      <c r="Z5" s="67">
        <v>1.3481736000000015</v>
      </c>
      <c r="AA5" s="95">
        <v>1.8375351391190273E-2</v>
      </c>
      <c r="AB5" s="61">
        <v>1.07</v>
      </c>
      <c r="AC5" s="71">
        <f>X5-$X$5</f>
        <v>0</v>
      </c>
      <c r="AD5" s="71">
        <f>AF5-$AF$5</f>
        <v>0</v>
      </c>
      <c r="AE5" s="60">
        <f>AB5-$AB$5</f>
        <v>0</v>
      </c>
    </row>
    <row r="6" spans="1:35" x14ac:dyDescent="0.25">
      <c r="A6" s="2">
        <f>B6/(3.14*0.25*0.41)</f>
        <v>2.7963336958210346E-2</v>
      </c>
      <c r="B6" s="119">
        <v>8.9999999999999993E-3</v>
      </c>
      <c r="C6" s="68">
        <v>1.3760424833333342</v>
      </c>
      <c r="D6" s="4">
        <v>4.5709615344800461E-2</v>
      </c>
      <c r="E6" s="104">
        <f t="shared" ref="E6:E13" si="0">100*(D6/C6)</f>
        <v>3.3218171603301947</v>
      </c>
      <c r="F6" s="69">
        <v>1.5037726383333341</v>
      </c>
      <c r="G6" s="3">
        <v>2.7954135946819225E-2</v>
      </c>
      <c r="H6" s="12">
        <v>1.9895931100000004</v>
      </c>
      <c r="I6" s="65">
        <f t="shared" ref="I6:I13" si="1">C6-$C$5</f>
        <v>0.21144161000000206</v>
      </c>
      <c r="J6" s="69">
        <f t="shared" ref="J6:J13" si="2">F6-$F$5</f>
        <v>0.15559903833333255</v>
      </c>
      <c r="K6" s="13">
        <v>0.36328787232850046</v>
      </c>
      <c r="M6" s="70">
        <v>1.0500000000000001E-2</v>
      </c>
      <c r="N6" s="71">
        <v>1.3383278151666669</v>
      </c>
      <c r="O6" s="4">
        <v>5.4179192016910876E-2</v>
      </c>
      <c r="P6" s="71">
        <v>1.8158848466666673</v>
      </c>
      <c r="Q6" s="4">
        <v>0.13281886788870634</v>
      </c>
      <c r="R6" s="61">
        <v>1.9099630896819999</v>
      </c>
      <c r="S6" s="70">
        <f>N6-$N$5</f>
        <v>0.1737269418333347</v>
      </c>
      <c r="T6" s="71">
        <f>P6-$P$5</f>
        <v>0.46771124666666575</v>
      </c>
      <c r="U6" s="61">
        <f t="shared" ref="U6:U11" si="3">R6-$R$5</f>
        <v>0.28365785201049998</v>
      </c>
      <c r="W6" s="70">
        <v>0.03</v>
      </c>
      <c r="X6" s="70">
        <v>1.5354049536449328</v>
      </c>
      <c r="Y6" s="96">
        <v>6.6300514369203201E-2</v>
      </c>
      <c r="Z6" s="71">
        <v>1.7570630290942357</v>
      </c>
      <c r="AA6" s="96">
        <v>5.2212937050223077E-2</v>
      </c>
      <c r="AB6" s="61">
        <v>1.3268785400000001</v>
      </c>
      <c r="AC6" s="71">
        <f>X6-$X$5</f>
        <v>0.37080408031160061</v>
      </c>
      <c r="AD6" s="71">
        <f>Z6-$Z$5</f>
        <v>0.4088894290942342</v>
      </c>
      <c r="AE6" s="60">
        <f t="shared" ref="AE6:AE12" si="4">AB6-$AB$5</f>
        <v>0.25687853999999999</v>
      </c>
    </row>
    <row r="7" spans="1:35" x14ac:dyDescent="0.25">
      <c r="A7" s="2">
        <f t="shared" ref="A7:A13" si="5">B7/(3.14*0.25*0.41)</f>
        <v>8.9171974522293015E-2</v>
      </c>
      <c r="B7" s="119">
        <v>2.8700000000000003E-2</v>
      </c>
      <c r="C7" s="68">
        <v>1.7842278947966033</v>
      </c>
      <c r="D7" s="4">
        <v>8.8040337533323521E-2</v>
      </c>
      <c r="E7" s="104">
        <f t="shared" si="0"/>
        <v>4.9343661642146817</v>
      </c>
      <c r="F7" s="69">
        <v>2.1689572733019062</v>
      </c>
      <c r="G7" s="3">
        <v>6.8380330683211227E-2</v>
      </c>
      <c r="H7" s="12">
        <v>2.7689926673889378</v>
      </c>
      <c r="I7" s="65">
        <f t="shared" si="1"/>
        <v>0.61962702146327109</v>
      </c>
      <c r="J7" s="69">
        <f t="shared" si="2"/>
        <v>0.82078367330190471</v>
      </c>
      <c r="K7" s="13">
        <v>1.1426874297174379</v>
      </c>
      <c r="M7" s="70">
        <v>0.03</v>
      </c>
      <c r="N7" s="71">
        <v>1.7045073266666648</v>
      </c>
      <c r="O7" s="4">
        <v>4.4418299557600356E-2</v>
      </c>
      <c r="P7" s="71">
        <v>2.089300293333332</v>
      </c>
      <c r="Q7" s="4">
        <v>3.3670379052312932E-2</v>
      </c>
      <c r="R7" s="61">
        <v>2.4329730151062363</v>
      </c>
      <c r="S7" s="70">
        <f t="shared" ref="S7:S12" si="6">N7-$N$5</f>
        <v>0.53990645333333265</v>
      </c>
      <c r="T7" s="71">
        <f t="shared" ref="T7:T12" si="7">P7-$P$5</f>
        <v>0.74112669333333048</v>
      </c>
      <c r="U7" s="61">
        <f t="shared" si="3"/>
        <v>0.80666777743473639</v>
      </c>
      <c r="W7" s="70">
        <v>0.06</v>
      </c>
      <c r="X7" s="70">
        <v>1.7480896033333337</v>
      </c>
      <c r="Y7" s="96">
        <v>2.3488551924511453E-2</v>
      </c>
      <c r="Z7" s="71">
        <v>2.3472033224991669</v>
      </c>
      <c r="AA7" s="96">
        <v>2.3851784918440755E-2</v>
      </c>
      <c r="AB7" s="61">
        <v>1.8294901699999997</v>
      </c>
      <c r="AC7" s="71">
        <f t="shared" ref="AC7:AC12" si="8">X7-$X$5</f>
        <v>0.58348873000000157</v>
      </c>
      <c r="AD7" s="71">
        <f t="shared" ref="AD7:AD12" si="9">Z7-$Z$5</f>
        <v>0.99902972249916533</v>
      </c>
      <c r="AE7" s="60">
        <f>AB7-$AB$5</f>
        <v>0.75949016999999963</v>
      </c>
    </row>
    <row r="8" spans="1:35" x14ac:dyDescent="0.25">
      <c r="A8" s="2">
        <f t="shared" si="5"/>
        <v>0.13158303557557871</v>
      </c>
      <c r="B8" s="119">
        <v>4.2350000000000006E-2</v>
      </c>
      <c r="C8" s="68">
        <v>2.1961658813257565</v>
      </c>
      <c r="D8" s="4">
        <v>4.328868503223722E-2</v>
      </c>
      <c r="E8" s="104">
        <f t="shared" si="0"/>
        <v>1.9711027022287224</v>
      </c>
      <c r="F8" s="69">
        <v>2.8155374764722914</v>
      </c>
      <c r="G8" s="3">
        <v>8.0538576987052607E-2</v>
      </c>
      <c r="H8" s="12">
        <v>2.9916858688063712</v>
      </c>
      <c r="I8" s="65">
        <f t="shared" si="1"/>
        <v>1.0315650079924243</v>
      </c>
      <c r="J8" s="69">
        <f t="shared" si="2"/>
        <v>1.4673638764722898</v>
      </c>
      <c r="K8" s="13">
        <v>1.3653806311348713</v>
      </c>
      <c r="M8" s="70">
        <v>0.06</v>
      </c>
      <c r="N8" s="71">
        <v>1.926483953333334</v>
      </c>
      <c r="O8" s="4">
        <v>0.17295661381015945</v>
      </c>
      <c r="P8" s="71">
        <v>2.359337529999999</v>
      </c>
      <c r="Q8" s="4">
        <v>7.4160855697008782E-2</v>
      </c>
      <c r="R8" s="61">
        <v>2.7817025200000023</v>
      </c>
      <c r="S8" s="70">
        <f t="shared" si="6"/>
        <v>0.76188308000000182</v>
      </c>
      <c r="T8" s="71">
        <f t="shared" si="7"/>
        <v>1.0111639299999975</v>
      </c>
      <c r="U8" s="61">
        <f t="shared" si="3"/>
        <v>1.1553972823285024</v>
      </c>
      <c r="W8" s="70">
        <v>0.12</v>
      </c>
      <c r="X8" s="70">
        <v>2.5045686000000003</v>
      </c>
      <c r="Y8" s="102">
        <v>0.10417715376098202</v>
      </c>
      <c r="Z8" s="71">
        <v>3.2793645066666657</v>
      </c>
      <c r="AA8" s="102">
        <v>0.16232145427266512</v>
      </c>
      <c r="AB8" s="61">
        <v>2.2779189500000001</v>
      </c>
      <c r="AC8" s="71">
        <f t="shared" si="8"/>
        <v>1.3399677266666681</v>
      </c>
      <c r="AD8" s="71">
        <f t="shared" si="9"/>
        <v>1.9311909066666642</v>
      </c>
      <c r="AE8" s="60">
        <f t="shared" si="4"/>
        <v>1.20791895</v>
      </c>
    </row>
    <row r="9" spans="1:35" x14ac:dyDescent="0.25">
      <c r="A9" s="2">
        <f t="shared" si="5"/>
        <v>0.17096434867761554</v>
      </c>
      <c r="B9" s="119">
        <v>5.5024875621890554E-2</v>
      </c>
      <c r="C9" s="68">
        <v>2.3421982912985122</v>
      </c>
      <c r="D9" s="4">
        <v>3.3231438746039899E-2</v>
      </c>
      <c r="E9" s="104">
        <f t="shared" si="0"/>
        <v>1.4188140632455344</v>
      </c>
      <c r="F9" s="69">
        <v>3.1598113790312716</v>
      </c>
      <c r="G9" s="3">
        <v>7.9327774776546719E-2</v>
      </c>
      <c r="H9" s="12">
        <v>3.5476817610031639</v>
      </c>
      <c r="I9" s="65">
        <f t="shared" si="1"/>
        <v>1.17759741796518</v>
      </c>
      <c r="J9" s="69">
        <f t="shared" si="2"/>
        <v>1.8116377790312701</v>
      </c>
      <c r="K9" s="13">
        <v>1.921376523331664</v>
      </c>
      <c r="M9" s="70">
        <v>0.09</v>
      </c>
      <c r="N9" s="71">
        <v>2.7486669200000002</v>
      </c>
      <c r="O9" s="4">
        <v>0.30302807792058473</v>
      </c>
      <c r="P9" s="71">
        <v>2.8731583966666654</v>
      </c>
      <c r="Q9" s="4">
        <v>0.29413607021641597</v>
      </c>
      <c r="R9" s="61">
        <v>3.3717644999999998</v>
      </c>
      <c r="S9" s="70">
        <f t="shared" si="6"/>
        <v>1.5840660466666681</v>
      </c>
      <c r="T9" s="71">
        <f t="shared" si="7"/>
        <v>1.5249847966666639</v>
      </c>
      <c r="U9" s="61">
        <f t="shared" si="3"/>
        <v>1.7454592623284999</v>
      </c>
      <c r="W9" s="70">
        <v>0.24</v>
      </c>
      <c r="X9" s="70">
        <v>3.2909188833333332</v>
      </c>
      <c r="Y9" s="96">
        <v>9.1081001462259309E-2</v>
      </c>
      <c r="Z9" s="71">
        <v>4.0489555566666668</v>
      </c>
      <c r="AA9" s="96">
        <v>0.18393156585553208</v>
      </c>
      <c r="AB9" s="61">
        <v>2.9853206999999999</v>
      </c>
      <c r="AC9" s="71">
        <f t="shared" si="8"/>
        <v>2.1263180100000012</v>
      </c>
      <c r="AD9" s="71">
        <f>Z9-$Z$5</f>
        <v>2.7007819566666651</v>
      </c>
      <c r="AE9" s="60">
        <f t="shared" si="4"/>
        <v>1.9153206999999999</v>
      </c>
    </row>
    <row r="10" spans="1:35" x14ac:dyDescent="0.25">
      <c r="A10" s="2">
        <f t="shared" si="5"/>
        <v>0.29361503806120864</v>
      </c>
      <c r="B10" s="119">
        <v>9.4500000000000001E-2</v>
      </c>
      <c r="C10" s="68">
        <v>3.0830321899999986</v>
      </c>
      <c r="D10" s="4">
        <v>0.20240318023887227</v>
      </c>
      <c r="E10" s="104">
        <f t="shared" si="0"/>
        <v>6.5650686650427863</v>
      </c>
      <c r="F10" s="69">
        <v>3.7171156932499003</v>
      </c>
      <c r="G10" s="3">
        <v>0.19615210369547326</v>
      </c>
      <c r="H10" s="12">
        <v>4.0676500000000004</v>
      </c>
      <c r="I10" s="65">
        <f t="shared" si="1"/>
        <v>1.9184313166666664</v>
      </c>
      <c r="J10" s="69">
        <f t="shared" si="2"/>
        <v>2.368942093249899</v>
      </c>
      <c r="K10" s="13">
        <v>2.4413447623285007</v>
      </c>
      <c r="M10" s="70">
        <v>0.15</v>
      </c>
      <c r="N10" s="71">
        <v>3.5532438499999999</v>
      </c>
      <c r="O10" s="4">
        <v>0.37707641719864232</v>
      </c>
      <c r="P10" s="71">
        <v>4.3082940566666652</v>
      </c>
      <c r="Q10" s="4">
        <v>0.16671867642491656</v>
      </c>
      <c r="R10" s="61">
        <v>5.4858628399999958</v>
      </c>
      <c r="S10" s="70">
        <f t="shared" si="6"/>
        <v>2.3886429766666675</v>
      </c>
      <c r="T10" s="71">
        <f t="shared" si="7"/>
        <v>2.9601204566666635</v>
      </c>
      <c r="U10" s="61">
        <f t="shared" si="3"/>
        <v>3.8595576023284961</v>
      </c>
      <c r="W10" s="70">
        <v>0.3</v>
      </c>
      <c r="X10" s="70">
        <v>5.078164113333334</v>
      </c>
      <c r="Y10" s="102">
        <v>6.5227318771511472E-2</v>
      </c>
      <c r="Z10" s="71">
        <v>5.9452507433333333</v>
      </c>
      <c r="AA10" s="96">
        <v>0.14649886533840939</v>
      </c>
      <c r="AB10" s="61">
        <v>4.38043285</v>
      </c>
      <c r="AC10" s="71">
        <f t="shared" si="8"/>
        <v>3.913563240000002</v>
      </c>
      <c r="AD10" s="71">
        <f t="shared" si="9"/>
        <v>4.5970771433333315</v>
      </c>
      <c r="AE10" s="60">
        <f t="shared" si="4"/>
        <v>3.3104328499999998</v>
      </c>
    </row>
    <row r="11" spans="1:35" x14ac:dyDescent="0.25">
      <c r="A11" s="2">
        <f t="shared" si="5"/>
        <v>0.48935839676868109</v>
      </c>
      <c r="B11" s="119">
        <v>0.1575</v>
      </c>
      <c r="C11" s="68">
        <v>5.3040962766666659</v>
      </c>
      <c r="D11" s="4">
        <v>0.20749255585022489</v>
      </c>
      <c r="E11" s="104">
        <f t="shared" si="0"/>
        <v>3.9119304218328139</v>
      </c>
      <c r="F11" s="69">
        <v>6.3744562533333324</v>
      </c>
      <c r="G11" s="3">
        <v>0.15545943307271295</v>
      </c>
      <c r="H11" s="12">
        <v>6.1174000000000008</v>
      </c>
      <c r="I11" s="65">
        <f t="shared" si="1"/>
        <v>4.139495403333334</v>
      </c>
      <c r="J11" s="69">
        <f t="shared" si="2"/>
        <v>5.0262826533333307</v>
      </c>
      <c r="K11" s="13">
        <v>4.4910947623285011</v>
      </c>
      <c r="M11" s="70">
        <v>0.24</v>
      </c>
      <c r="N11" s="71">
        <v>5.2023556849999988</v>
      </c>
      <c r="O11" s="4">
        <v>3.2583119852617942E-2</v>
      </c>
      <c r="P11" s="71">
        <v>5.8571079200000007</v>
      </c>
      <c r="Q11" s="4">
        <v>2.179212589948953E-2</v>
      </c>
      <c r="R11" s="61">
        <v>7.1453873999999997</v>
      </c>
      <c r="S11" s="70">
        <f t="shared" si="6"/>
        <v>4.0377548116666668</v>
      </c>
      <c r="T11" s="71">
        <f t="shared" si="7"/>
        <v>4.5089343199999989</v>
      </c>
      <c r="U11" s="61">
        <f t="shared" si="3"/>
        <v>5.5190821623285</v>
      </c>
      <c r="W11" s="70">
        <v>0.45</v>
      </c>
      <c r="X11" s="70">
        <v>6.0131641133333327</v>
      </c>
      <c r="Y11" s="4">
        <v>0.17328756805414791</v>
      </c>
      <c r="Z11" s="71">
        <v>7.2527528333333322</v>
      </c>
      <c r="AA11" s="4">
        <v>0.2780178425438517</v>
      </c>
      <c r="AB11" s="61">
        <v>5.5984571000000001</v>
      </c>
      <c r="AC11" s="71">
        <f t="shared" si="8"/>
        <v>4.8485632400000007</v>
      </c>
      <c r="AD11" s="71">
        <f t="shared" si="9"/>
        <v>5.9045792333333305</v>
      </c>
      <c r="AE11" s="60">
        <f t="shared" si="4"/>
        <v>4.5284570999999998</v>
      </c>
    </row>
    <row r="12" spans="1:35" x14ac:dyDescent="0.25">
      <c r="A12" s="2">
        <f t="shared" si="5"/>
        <v>0.74568898555227592</v>
      </c>
      <c r="B12" s="119">
        <v>0.24</v>
      </c>
      <c r="C12" s="68">
        <v>7.2983486830963029</v>
      </c>
      <c r="D12" s="4">
        <v>0.19858808365391517</v>
      </c>
      <c r="E12" s="104">
        <f t="shared" si="0"/>
        <v>2.7210002190476978</v>
      </c>
      <c r="F12" s="69">
        <v>8.3392659841406758</v>
      </c>
      <c r="G12" s="3">
        <v>2.82199415067819E-2</v>
      </c>
      <c r="H12" s="14">
        <v>9.3884000000000007</v>
      </c>
      <c r="I12" s="65">
        <f t="shared" si="1"/>
        <v>6.133747809762971</v>
      </c>
      <c r="J12" s="69">
        <f t="shared" si="2"/>
        <v>6.991092384140674</v>
      </c>
      <c r="K12" s="15">
        <v>7.762094762328501</v>
      </c>
      <c r="M12" s="70">
        <v>0.3</v>
      </c>
      <c r="N12" s="71">
        <v>6.2620373433333327</v>
      </c>
      <c r="O12" s="4">
        <v>0.21540208855059495</v>
      </c>
      <c r="P12" s="71">
        <v>7.7025979699999993</v>
      </c>
      <c r="Q12" s="4">
        <v>0.35761123711796178</v>
      </c>
      <c r="R12" s="61">
        <v>8.2857213437500086</v>
      </c>
      <c r="S12" s="70">
        <f t="shared" si="6"/>
        <v>5.0974364700000008</v>
      </c>
      <c r="T12" s="71">
        <f t="shared" si="7"/>
        <v>6.3544243699999976</v>
      </c>
      <c r="U12" s="61">
        <f>R12-$R$5</f>
        <v>6.6594161060785089</v>
      </c>
      <c r="W12" s="73">
        <v>0.6</v>
      </c>
      <c r="X12" s="73">
        <v>8.4226227733333321</v>
      </c>
      <c r="Y12" s="5">
        <v>0.33212429761558443</v>
      </c>
      <c r="Z12" s="74">
        <v>9.4104575866666682</v>
      </c>
      <c r="AA12" s="5">
        <v>0.3060600173272443</v>
      </c>
      <c r="AB12" s="64">
        <v>7.2998721</v>
      </c>
      <c r="AC12" s="71">
        <f t="shared" si="8"/>
        <v>7.2580219000000001</v>
      </c>
      <c r="AD12" s="71">
        <f t="shared" si="9"/>
        <v>8.0622839866666673</v>
      </c>
      <c r="AE12" s="60">
        <f t="shared" si="4"/>
        <v>6.2298720999999997</v>
      </c>
    </row>
    <row r="13" spans="1:35" x14ac:dyDescent="0.25">
      <c r="A13" s="2">
        <f t="shared" si="5"/>
        <v>0.93211123194034495</v>
      </c>
      <c r="B13" s="70">
        <v>0.3</v>
      </c>
      <c r="C13" s="71">
        <v>9.7739618250000007</v>
      </c>
      <c r="D13" s="4">
        <v>3.544414459997184E-2</v>
      </c>
      <c r="E13" s="104">
        <f t="shared" si="0"/>
        <v>0.36263845955804969</v>
      </c>
      <c r="F13" s="72">
        <v>11.648603014397002</v>
      </c>
      <c r="G13" s="3">
        <v>0.1114962799122127</v>
      </c>
      <c r="I13" s="65">
        <f t="shared" si="1"/>
        <v>8.6093609516666678</v>
      </c>
      <c r="J13" s="69">
        <f t="shared" si="2"/>
        <v>10.300429414397001</v>
      </c>
      <c r="M13" s="73"/>
      <c r="N13" s="74"/>
      <c r="O13" s="5"/>
      <c r="P13" s="74"/>
      <c r="Q13" s="5"/>
      <c r="R13" s="64"/>
      <c r="S13" s="73"/>
      <c r="T13" s="74"/>
      <c r="U13" s="64"/>
    </row>
    <row r="14" spans="1:35" x14ac:dyDescent="0.25">
      <c r="B14" s="73"/>
      <c r="C14" s="74"/>
      <c r="D14" s="5"/>
      <c r="E14" s="105"/>
      <c r="F14" s="75"/>
      <c r="G14" s="3"/>
      <c r="I14" s="78"/>
      <c r="J14" s="79"/>
    </row>
    <row r="15" spans="1:35" x14ac:dyDescent="0.15">
      <c r="AD15" s="2" t="s">
        <v>27</v>
      </c>
      <c r="AE15" s="2">
        <v>1</v>
      </c>
      <c r="AF15" s="2">
        <v>2</v>
      </c>
      <c r="AG15" s="2">
        <v>3</v>
      </c>
      <c r="AH15" s="2" t="s">
        <v>81</v>
      </c>
      <c r="AI15" s="2" t="s">
        <v>70</v>
      </c>
    </row>
    <row r="16" spans="1:35" x14ac:dyDescent="0.15">
      <c r="M16" s="2" t="s">
        <v>89</v>
      </c>
      <c r="N16" s="2" t="s">
        <v>26</v>
      </c>
      <c r="O16" s="2">
        <v>1</v>
      </c>
      <c r="P16" s="2">
        <v>2</v>
      </c>
      <c r="Q16" s="2">
        <v>3</v>
      </c>
      <c r="R16" s="2" t="s">
        <v>9</v>
      </c>
      <c r="S16" s="2" t="s">
        <v>10</v>
      </c>
      <c r="U16" s="2" t="s">
        <v>91</v>
      </c>
      <c r="V16" s="2" t="s">
        <v>26</v>
      </c>
      <c r="W16" s="2">
        <v>1</v>
      </c>
      <c r="X16" s="2">
        <v>2</v>
      </c>
      <c r="Y16" s="2">
        <v>3</v>
      </c>
      <c r="Z16" s="2" t="s">
        <v>9</v>
      </c>
      <c r="AA16" s="2" t="s">
        <v>10</v>
      </c>
      <c r="AC16" s="2" t="s">
        <v>89</v>
      </c>
      <c r="AD16">
        <v>0</v>
      </c>
      <c r="AE16">
        <v>1.3620803300000013</v>
      </c>
      <c r="AF16">
        <v>1.3273419900000007</v>
      </c>
      <c r="AG16">
        <v>1.3550984800000023</v>
      </c>
      <c r="AH16">
        <f t="shared" ref="AH16" si="10">AVERAGE(AE16:AG16)</f>
        <v>1.3481736000000015</v>
      </c>
      <c r="AI16">
        <f t="shared" ref="AI16" si="11">_xlfn.STDEV.S(AE16:AG16)</f>
        <v>1.8375351391190273E-2</v>
      </c>
    </row>
    <row r="17" spans="2:35" x14ac:dyDescent="0.15">
      <c r="L17" s="2">
        <f>32.643/20.069</f>
        <v>1.6265384423738105</v>
      </c>
      <c r="N17" s="2">
        <v>0</v>
      </c>
      <c r="O17" s="2">
        <v>1.3620803300000013</v>
      </c>
      <c r="P17" s="2">
        <v>1.3273419900000007</v>
      </c>
      <c r="Q17" s="2">
        <v>1.3550984800000023</v>
      </c>
      <c r="R17">
        <f t="shared" ref="R17" si="12">AVERAGE(O17:Q17)</f>
        <v>1.3481736000000015</v>
      </c>
      <c r="S17">
        <f t="shared" ref="S17" si="13">_xlfn.STDEV.S(O17:Q17)</f>
        <v>1.8375351391190273E-2</v>
      </c>
      <c r="V17" s="2">
        <v>0</v>
      </c>
      <c r="W17" s="2">
        <v>1.1818212999999993</v>
      </c>
      <c r="X17" s="2">
        <v>1.1320436399999991</v>
      </c>
      <c r="Y17" s="2">
        <v>1.1799376799999983</v>
      </c>
      <c r="Z17">
        <f t="shared" ref="Z17:Z20" si="14">AVERAGE(W17:Y17)</f>
        <v>1.1646008733333322</v>
      </c>
      <c r="AA17">
        <f t="shared" ref="AA17:AA20" si="15">_xlfn.STDEV.S(W17:Y17)</f>
        <v>2.8211116387284709E-2</v>
      </c>
      <c r="AD17">
        <v>0.03</v>
      </c>
      <c r="AE17">
        <v>1.8119367219170002</v>
      </c>
      <c r="AF17">
        <v>1.7512560040507061</v>
      </c>
      <c r="AG17">
        <v>1.7079963613150007</v>
      </c>
      <c r="AH17">
        <f t="shared" ref="AH17:AH22" si="16">AVERAGE(AE17:AG17)</f>
        <v>1.7570630290942357</v>
      </c>
      <c r="AI17">
        <f t="shared" ref="AI17:AI22" si="17">_xlfn.STDEV.S(AE17:AG17)</f>
        <v>5.2212937050223077E-2</v>
      </c>
    </row>
    <row r="18" spans="2:35" x14ac:dyDescent="0.15">
      <c r="L18" s="2">
        <f>32.643/13.24</f>
        <v>2.4654833836858008</v>
      </c>
      <c r="N18" s="2">
        <v>1.0500000000000001E-2</v>
      </c>
      <c r="O18" s="2">
        <v>1.9135085899999993</v>
      </c>
      <c r="P18" s="2">
        <v>1.8695085900000024</v>
      </c>
      <c r="Q18" s="2">
        <v>1.6646373600000004</v>
      </c>
      <c r="R18">
        <f t="shared" ref="R18:R24" si="18">AVERAGE(O18:Q18)</f>
        <v>1.8158848466666673</v>
      </c>
      <c r="S18">
        <f t="shared" ref="S18:S24" si="19">_xlfn.STDEV.S(O18:Q18)</f>
        <v>0.13281886788870634</v>
      </c>
      <c r="V18" s="2">
        <v>1.0500000000000001E-2</v>
      </c>
      <c r="W18" s="2">
        <v>1.3217391899999988</v>
      </c>
      <c r="X18" s="2">
        <v>1.2943823155000018</v>
      </c>
      <c r="Y18" s="2">
        <v>1.3988619399999997</v>
      </c>
      <c r="Z18">
        <f t="shared" si="14"/>
        <v>1.3383278151666669</v>
      </c>
      <c r="AA18">
        <f t="shared" si="15"/>
        <v>5.4179192016910876E-2</v>
      </c>
      <c r="AD18">
        <v>0.06</v>
      </c>
      <c r="AE18">
        <v>2.3536324099999995</v>
      </c>
      <c r="AF18">
        <v>2.3671816174975007</v>
      </c>
      <c r="AG18">
        <v>2.32079594</v>
      </c>
      <c r="AH18">
        <f t="shared" si="16"/>
        <v>2.3472033224991669</v>
      </c>
      <c r="AI18">
        <f t="shared" si="17"/>
        <v>2.3851784918440755E-2</v>
      </c>
    </row>
    <row r="19" spans="2:35" x14ac:dyDescent="0.15">
      <c r="N19" s="2">
        <v>0.03</v>
      </c>
      <c r="O19" s="2">
        <v>2.0656914999999998</v>
      </c>
      <c r="P19" s="2">
        <v>2.074352809999997</v>
      </c>
      <c r="Q19" s="2">
        <v>2.1278565699999987</v>
      </c>
      <c r="R19">
        <f t="shared" si="18"/>
        <v>2.089300293333332</v>
      </c>
      <c r="S19">
        <f t="shared" si="19"/>
        <v>3.3670379052312932E-2</v>
      </c>
      <c r="V19" s="2">
        <v>0.03</v>
      </c>
      <c r="W19" s="2">
        <v>1.7217540499999977</v>
      </c>
      <c r="X19" s="2">
        <v>1.7377157499999996</v>
      </c>
      <c r="Y19" s="2">
        <v>1.6540521799999972</v>
      </c>
      <c r="Z19">
        <f t="shared" si="14"/>
        <v>1.7045073266666648</v>
      </c>
      <c r="AA19">
        <f t="shared" si="15"/>
        <v>4.4418299557600356E-2</v>
      </c>
      <c r="AD19">
        <v>0.12</v>
      </c>
      <c r="AE19">
        <v>3.1462539799999973</v>
      </c>
      <c r="AF19">
        <v>3.4601976999999984</v>
      </c>
      <c r="AG19">
        <v>3.2316418400000018</v>
      </c>
      <c r="AH19">
        <f t="shared" si="16"/>
        <v>3.2793645066666657</v>
      </c>
      <c r="AI19">
        <f t="shared" si="17"/>
        <v>0.16232145427266512</v>
      </c>
    </row>
    <row r="20" spans="2:35" x14ac:dyDescent="0.15">
      <c r="N20" s="2">
        <v>0.06</v>
      </c>
      <c r="O20" s="2">
        <v>2.3165207399999979</v>
      </c>
      <c r="P20" s="2">
        <v>2.4449711100000009</v>
      </c>
      <c r="Q20" s="2">
        <v>2.3165207399999979</v>
      </c>
      <c r="R20">
        <f t="shared" si="18"/>
        <v>2.359337529999999</v>
      </c>
      <c r="S20">
        <f t="shared" si="19"/>
        <v>7.4160855697008782E-2</v>
      </c>
      <c r="V20" s="2">
        <v>0.06</v>
      </c>
      <c r="W20" s="2">
        <v>1.9920929700000016</v>
      </c>
      <c r="X20" s="2">
        <v>1.7303222199999979</v>
      </c>
      <c r="Y20" s="2">
        <v>2.0570366700000022</v>
      </c>
      <c r="Z20">
        <f t="shared" si="14"/>
        <v>1.926483953333334</v>
      </c>
      <c r="AA20">
        <f t="shared" si="15"/>
        <v>0.17295661381015945</v>
      </c>
      <c r="AD20">
        <v>0.24</v>
      </c>
      <c r="AE20">
        <v>4.1839460300000004</v>
      </c>
      <c r="AF20">
        <v>3.8394603200000006</v>
      </c>
      <c r="AG20">
        <v>4.1234603199999995</v>
      </c>
      <c r="AH20">
        <f t="shared" si="16"/>
        <v>4.0489555566666668</v>
      </c>
      <c r="AI20">
        <f t="shared" si="17"/>
        <v>0.18393156585553208</v>
      </c>
    </row>
    <row r="21" spans="2:35" x14ac:dyDescent="0.15">
      <c r="N21" s="2">
        <v>0.09</v>
      </c>
      <c r="O21" s="2">
        <v>2.5770807599999985</v>
      </c>
      <c r="P21" s="2">
        <v>2.8770807599999983</v>
      </c>
      <c r="Q21" s="2">
        <v>3.1653136699999997</v>
      </c>
      <c r="R21">
        <f>AVERAGE(O21:Q21)</f>
        <v>2.8731583966666654</v>
      </c>
      <c r="S21">
        <f>_xlfn.STDEV.S(O21:Q21)</f>
        <v>0.29413607021641597</v>
      </c>
      <c r="V21" s="2">
        <v>0.09</v>
      </c>
      <c r="W21" s="2">
        <v>2.4602417400000007</v>
      </c>
      <c r="X21" s="2">
        <v>2.721315520000001</v>
      </c>
      <c r="Y21" s="2">
        <v>3.0644434999999994</v>
      </c>
      <c r="Z21">
        <f>AVERAGE(W21:Y21)</f>
        <v>2.7486669200000002</v>
      </c>
      <c r="AA21">
        <f>_xlfn.STDEV.S(W21:Y21)</f>
        <v>0.30302807792058473</v>
      </c>
      <c r="AD21">
        <v>0.3</v>
      </c>
      <c r="AE21">
        <v>5.8002833099999975</v>
      </c>
      <c r="AF21">
        <v>5.9422344600000017</v>
      </c>
      <c r="AG21">
        <v>6.0932344600000015</v>
      </c>
      <c r="AH21">
        <f t="shared" si="16"/>
        <v>5.9452507433333333</v>
      </c>
      <c r="AI21">
        <f t="shared" si="17"/>
        <v>0.14649886533840939</v>
      </c>
    </row>
    <row r="22" spans="2:35" x14ac:dyDescent="0.15">
      <c r="N22" s="2">
        <v>0.15</v>
      </c>
      <c r="O22" s="2">
        <v>4.3795682099999986</v>
      </c>
      <c r="P22" s="2">
        <v>4.427528259999999</v>
      </c>
      <c r="Q22" s="2">
        <v>4.1177856999999989</v>
      </c>
      <c r="R22">
        <f t="shared" si="18"/>
        <v>4.3082940566666652</v>
      </c>
      <c r="S22">
        <f t="shared" si="19"/>
        <v>0.16671867642491656</v>
      </c>
      <c r="V22" s="2">
        <v>0.15</v>
      </c>
      <c r="W22" s="2">
        <v>3.9676472899999986</v>
      </c>
      <c r="X22" s="2">
        <v>3.4617528300000018</v>
      </c>
      <c r="Y22" s="2">
        <v>3.2303314299999997</v>
      </c>
      <c r="Z22">
        <f t="shared" ref="Z22:Z24" si="20">AVERAGE(W22:Y22)</f>
        <v>3.5532438499999999</v>
      </c>
      <c r="AA22">
        <f t="shared" ref="AA22:AA24" si="21">_xlfn.STDEV.S(W22:Y22)</f>
        <v>0.37707641719864232</v>
      </c>
      <c r="AD22">
        <v>0.45</v>
      </c>
      <c r="AE22">
        <v>7.5007895799999993</v>
      </c>
      <c r="AF22">
        <v>6.9522344599999997</v>
      </c>
      <c r="AG22">
        <v>7.3052344599999977</v>
      </c>
      <c r="AH22">
        <f t="shared" si="16"/>
        <v>7.2527528333333322</v>
      </c>
      <c r="AI22">
        <f t="shared" si="17"/>
        <v>0.2780178425438517</v>
      </c>
    </row>
    <row r="23" spans="2:35" x14ac:dyDescent="0.15">
      <c r="N23" s="2">
        <v>0.24</v>
      </c>
      <c r="O23" s="2">
        <v>5.8725172800000003</v>
      </c>
      <c r="P23" s="2">
        <v>5.8416985600000002</v>
      </c>
      <c r="R23">
        <f t="shared" si="18"/>
        <v>5.8571079200000007</v>
      </c>
      <c r="S23">
        <f t="shared" si="19"/>
        <v>2.179212589948953E-2</v>
      </c>
      <c r="V23" s="2">
        <v>0.24</v>
      </c>
      <c r="W23" s="2">
        <v>5.1793159399999986</v>
      </c>
      <c r="X23" s="2">
        <v>5.225395429999999</v>
      </c>
      <c r="Z23">
        <f t="shared" si="20"/>
        <v>5.2023556849999988</v>
      </c>
      <c r="AA23">
        <f t="shared" si="21"/>
        <v>3.2583119852617942E-2</v>
      </c>
      <c r="AD23">
        <v>0.6</v>
      </c>
      <c r="AE23">
        <v>9.7324949700000012</v>
      </c>
      <c r="AF23">
        <v>9.3755010900000038</v>
      </c>
      <c r="AG23">
        <v>9.1233767000000014</v>
      </c>
      <c r="AH23">
        <f>AVERAGE(AE23:AG23)</f>
        <v>9.4104575866666682</v>
      </c>
      <c r="AI23">
        <f>_xlfn.STDEV.S(AE23:AG23)</f>
        <v>0.3060600173272443</v>
      </c>
    </row>
    <row r="24" spans="2:35" x14ac:dyDescent="0.15">
      <c r="B24" s="2">
        <f>1/0.13</f>
        <v>7.6923076923076916</v>
      </c>
      <c r="N24" s="2">
        <v>0.3</v>
      </c>
      <c r="O24" s="2">
        <v>7.3300428199999992</v>
      </c>
      <c r="P24" s="2">
        <v>7.7346426299999997</v>
      </c>
      <c r="Q24" s="2">
        <v>8.0431084599999991</v>
      </c>
      <c r="R24">
        <f t="shared" si="18"/>
        <v>7.7025979699999993</v>
      </c>
      <c r="S24">
        <f t="shared" si="19"/>
        <v>0.35761123711796178</v>
      </c>
      <c r="V24" s="2">
        <v>0.3</v>
      </c>
      <c r="W24" s="2">
        <v>6.0147691399999985</v>
      </c>
      <c r="X24" s="2">
        <v>6.36239299</v>
      </c>
      <c r="Y24" s="2">
        <v>6.4089498999999996</v>
      </c>
      <c r="Z24">
        <f t="shared" si="20"/>
        <v>6.2620373433333327</v>
      </c>
      <c r="AA24">
        <f t="shared" si="21"/>
        <v>0.21540208855059495</v>
      </c>
    </row>
    <row r="25" spans="2:35" x14ac:dyDescent="0.15">
      <c r="P25" s="6"/>
      <c r="AC25" s="2" t="s">
        <v>91</v>
      </c>
      <c r="AD25" s="2" t="s">
        <v>27</v>
      </c>
      <c r="AE25" s="2">
        <v>1</v>
      </c>
      <c r="AF25" s="2">
        <v>2</v>
      </c>
      <c r="AG25" s="2">
        <v>3</v>
      </c>
      <c r="AH25" s="2" t="s">
        <v>9</v>
      </c>
      <c r="AI25" s="2" t="s">
        <v>10</v>
      </c>
    </row>
    <row r="26" spans="2:35" x14ac:dyDescent="0.15">
      <c r="P26" s="6"/>
      <c r="AD26">
        <v>0</v>
      </c>
      <c r="AE26" s="2">
        <v>1.1818212999999993</v>
      </c>
      <c r="AF26" s="2">
        <v>1.1320436399999991</v>
      </c>
      <c r="AG26" s="2">
        <v>1.1799376799999983</v>
      </c>
      <c r="AH26">
        <f t="shared" ref="AH26:AH29" si="22">AVERAGE(AE26:AG26)</f>
        <v>1.1646008733333322</v>
      </c>
      <c r="AI26">
        <f t="shared" ref="AI26:AI29" si="23">_xlfn.STDEV.S(AE26:AG26)</f>
        <v>2.8211116387284709E-2</v>
      </c>
    </row>
    <row r="27" spans="2:35" x14ac:dyDescent="0.15">
      <c r="AD27">
        <v>0.03</v>
      </c>
      <c r="AE27" s="2">
        <v>1.5893921309347974</v>
      </c>
      <c r="AF27" s="2">
        <v>1.555419839999999</v>
      </c>
      <c r="AG27" s="2">
        <v>1.4614028900000022</v>
      </c>
      <c r="AH27">
        <f t="shared" si="22"/>
        <v>1.5354049536449328</v>
      </c>
      <c r="AI27">
        <f t="shared" si="23"/>
        <v>6.6300514369203201E-2</v>
      </c>
    </row>
    <row r="28" spans="2:35" x14ac:dyDescent="0.15">
      <c r="AD28">
        <v>0.06</v>
      </c>
      <c r="AE28" s="2">
        <v>1.7639219900000001</v>
      </c>
      <c r="AF28" s="2">
        <v>1.721102130000002</v>
      </c>
      <c r="AG28" s="2">
        <v>1.7592446899999992</v>
      </c>
      <c r="AH28">
        <f t="shared" si="22"/>
        <v>1.7480896033333337</v>
      </c>
      <c r="AI28">
        <f t="shared" si="23"/>
        <v>2.3488551924511453E-2</v>
      </c>
    </row>
    <row r="29" spans="2:35" x14ac:dyDescent="0.15">
      <c r="AD29">
        <v>0.12</v>
      </c>
      <c r="AE29" s="2">
        <v>2.3882295199999994</v>
      </c>
      <c r="AF29" s="2">
        <v>2.58922952</v>
      </c>
      <c r="AG29" s="2">
        <v>2.5362467600000009</v>
      </c>
      <c r="AH29">
        <f t="shared" si="22"/>
        <v>2.5045686000000003</v>
      </c>
      <c r="AI29">
        <f t="shared" si="23"/>
        <v>0.10417715376098202</v>
      </c>
    </row>
    <row r="30" spans="2:35" x14ac:dyDescent="0.15">
      <c r="AD30">
        <v>0.24</v>
      </c>
      <c r="AE30" s="2">
        <v>3.2045726899999991</v>
      </c>
      <c r="AF30" s="2">
        <v>3.3860919799999998</v>
      </c>
      <c r="AG30" s="2">
        <v>3.2820919800000006</v>
      </c>
      <c r="AH30">
        <f>AVERAGE(AE30:AG30)</f>
        <v>3.2909188833333332</v>
      </c>
      <c r="AI30">
        <f>_xlfn.STDEV.S(AE30:AG30)</f>
        <v>9.1081001462259309E-2</v>
      </c>
    </row>
    <row r="31" spans="2:35" x14ac:dyDescent="0.15">
      <c r="AD31">
        <v>0.3</v>
      </c>
      <c r="AE31" s="2">
        <v>5.0497751000000015</v>
      </c>
      <c r="AF31" s="2">
        <v>5.0319421400000017</v>
      </c>
      <c r="AG31" s="2">
        <v>5.1527750999999995</v>
      </c>
      <c r="AH31">
        <f t="shared" ref="AH31:AH33" si="24">AVERAGE(AE31:AG31)</f>
        <v>5.078164113333334</v>
      </c>
      <c r="AI31">
        <f t="shared" ref="AI31:AI33" si="25">_xlfn.STDEV.S(AE31:AG31)</f>
        <v>6.5227318771511472E-2</v>
      </c>
    </row>
    <row r="32" spans="2:35" x14ac:dyDescent="0.15">
      <c r="F32" s="112"/>
      <c r="AD32">
        <v>0.45</v>
      </c>
      <c r="AE32" s="2">
        <v>6.12264214</v>
      </c>
      <c r="AF32" s="2">
        <v>5.8133750999999982</v>
      </c>
      <c r="AG32" s="2">
        <v>6.1034751000000007</v>
      </c>
      <c r="AH32">
        <f t="shared" si="24"/>
        <v>6.0131641133333327</v>
      </c>
      <c r="AI32">
        <f t="shared" si="25"/>
        <v>0.17328756805414791</v>
      </c>
    </row>
    <row r="33" spans="2:35" x14ac:dyDescent="0.15">
      <c r="B33" s="2" t="s">
        <v>6</v>
      </c>
      <c r="I33" s="2" t="s">
        <v>6</v>
      </c>
      <c r="AD33">
        <v>0.6</v>
      </c>
      <c r="AE33" s="2">
        <v>8.2639675299999986</v>
      </c>
      <c r="AF33" s="2">
        <v>8.8043209199999986</v>
      </c>
      <c r="AG33" s="2">
        <v>8.1995798699999973</v>
      </c>
      <c r="AH33">
        <f t="shared" si="24"/>
        <v>8.4226227733333321</v>
      </c>
      <c r="AI33">
        <f t="shared" si="25"/>
        <v>0.33212429761558443</v>
      </c>
    </row>
    <row r="34" spans="2:35" x14ac:dyDescent="0.15">
      <c r="B34" s="2" t="s">
        <v>89</v>
      </c>
      <c r="C34" s="2">
        <v>1</v>
      </c>
      <c r="D34" s="2">
        <v>2</v>
      </c>
      <c r="E34" s="2">
        <v>3</v>
      </c>
      <c r="F34" s="2" t="s">
        <v>81</v>
      </c>
      <c r="G34" s="2" t="s">
        <v>70</v>
      </c>
      <c r="I34" s="2" t="s">
        <v>91</v>
      </c>
      <c r="J34" s="2">
        <v>1</v>
      </c>
      <c r="K34" s="2">
        <v>2</v>
      </c>
      <c r="L34" s="2">
        <v>3</v>
      </c>
      <c r="M34" s="2" t="s">
        <v>81</v>
      </c>
      <c r="N34" s="2" t="s">
        <v>70</v>
      </c>
    </row>
    <row r="35" spans="2:35" x14ac:dyDescent="0.15">
      <c r="B35" s="2">
        <v>0</v>
      </c>
      <c r="C35" s="2">
        <v>1.3620803300000013</v>
      </c>
      <c r="D35" s="2">
        <v>1.3273419900000007</v>
      </c>
      <c r="E35" s="2">
        <v>1.3550984800000023</v>
      </c>
      <c r="F35" s="2">
        <f>AVERAGE(C35:E35)</f>
        <v>1.3481736000000015</v>
      </c>
      <c r="G35" s="2">
        <f>_xlfn.STDEV.S(C35:E35)</f>
        <v>1.8375351391190273E-2</v>
      </c>
      <c r="I35" s="2">
        <v>0</v>
      </c>
      <c r="J35" s="2">
        <v>1.1818212999999993</v>
      </c>
      <c r="K35" s="2">
        <v>1.1320436399999991</v>
      </c>
      <c r="L35" s="2">
        <v>1.1799376799999983</v>
      </c>
      <c r="M35" s="2">
        <f>AVERAGE(J35:L35)</f>
        <v>1.1646008733333322</v>
      </c>
      <c r="N35" s="2">
        <f>_xlfn.STDEV.S(J35:L35)</f>
        <v>2.8211116387284709E-2</v>
      </c>
    </row>
    <row r="36" spans="2:35" x14ac:dyDescent="0.15">
      <c r="B36" s="2">
        <v>8.9999999999999993E-3</v>
      </c>
      <c r="C36" s="2">
        <v>1.4808561850000019</v>
      </c>
      <c r="D36" s="2">
        <v>1.4955443000000015</v>
      </c>
      <c r="E36" s="2">
        <v>1.5349174299999984</v>
      </c>
      <c r="F36" s="2">
        <f t="shared" ref="F36:F39" si="26">AVERAGE(C36:E36)</f>
        <v>1.5037726383333341</v>
      </c>
      <c r="G36" s="2">
        <f t="shared" ref="G36:G39" si="27">_xlfn.STDEV.S(C36:E36)</f>
        <v>2.7954135946819225E-2</v>
      </c>
      <c r="I36" s="2">
        <v>8.9999999999999993E-3</v>
      </c>
      <c r="J36" s="2">
        <v>1.3987070400000006</v>
      </c>
      <c r="K36" s="2">
        <v>1.3234293700000013</v>
      </c>
      <c r="L36" s="2">
        <v>1.4059910400000013</v>
      </c>
      <c r="M36" s="2">
        <f t="shared" ref="M36:M39" si="28">AVERAGE(J36:L36)</f>
        <v>1.3760424833333342</v>
      </c>
      <c r="N36" s="2">
        <f t="shared" ref="N36:N39" si="29">_xlfn.STDEV.S(J36:L36)</f>
        <v>4.5709615344800461E-2</v>
      </c>
    </row>
    <row r="37" spans="2:35" x14ac:dyDescent="0.15">
      <c r="B37" s="2">
        <v>2.8700000000000003E-2</v>
      </c>
      <c r="C37" s="2">
        <v>2.0901673787932005</v>
      </c>
      <c r="D37" s="2">
        <v>2.2128225691808723</v>
      </c>
      <c r="E37" s="2">
        <v>2.203881871931646</v>
      </c>
      <c r="F37" s="2">
        <f t="shared" si="26"/>
        <v>2.1689572733019062</v>
      </c>
      <c r="G37" s="2">
        <f t="shared" si="27"/>
        <v>6.8380330683211227E-2</v>
      </c>
      <c r="I37" s="2">
        <v>2.8700000000000003E-2</v>
      </c>
      <c r="J37" s="2">
        <v>1.8773601578092673</v>
      </c>
      <c r="K37" s="2">
        <v>1.7023646356084541</v>
      </c>
      <c r="L37" s="2">
        <v>1.7729588909720881</v>
      </c>
      <c r="M37" s="2">
        <f t="shared" si="28"/>
        <v>1.7842278947966033</v>
      </c>
      <c r="N37" s="2">
        <f t="shared" si="29"/>
        <v>8.8040337533323521E-2</v>
      </c>
    </row>
    <row r="38" spans="2:35" x14ac:dyDescent="0.15">
      <c r="B38" s="2">
        <v>4.2350000000000006E-2</v>
      </c>
      <c r="C38" s="2">
        <v>2.8274955050644728</v>
      </c>
      <c r="D38" s="2">
        <v>2.889428459967867</v>
      </c>
      <c r="E38" s="2">
        <v>2.7296884643845338</v>
      </c>
      <c r="F38" s="2">
        <f t="shared" si="26"/>
        <v>2.8155374764722914</v>
      </c>
      <c r="G38" s="2">
        <f t="shared" si="27"/>
        <v>8.0538576987052607E-2</v>
      </c>
      <c r="I38" s="2">
        <v>4.2350000000000006E-2</v>
      </c>
      <c r="J38" s="2">
        <v>2.2208319437999471</v>
      </c>
      <c r="K38" s="2">
        <v>2.2214838696410553</v>
      </c>
      <c r="L38" s="2">
        <v>2.1461818305362677</v>
      </c>
      <c r="M38" s="2">
        <f t="shared" si="28"/>
        <v>2.1961658813257565</v>
      </c>
      <c r="N38" s="2">
        <f t="shared" si="29"/>
        <v>4.328868503223722E-2</v>
      </c>
      <c r="P38" s="2">
        <f>31.7/24.4</f>
        <v>1.2991803278688525</v>
      </c>
    </row>
    <row r="39" spans="2:35" x14ac:dyDescent="0.15">
      <c r="B39" s="2">
        <v>5.5024875621890554E-2</v>
      </c>
      <c r="C39" s="2">
        <v>3.2178788314985738</v>
      </c>
      <c r="D39" s="2">
        <v>3.1921292955952403</v>
      </c>
      <c r="E39" s="2">
        <v>3.0694260100000008</v>
      </c>
      <c r="F39" s="2">
        <f t="shared" si="26"/>
        <v>3.1598113790312716</v>
      </c>
      <c r="G39" s="2">
        <f t="shared" si="27"/>
        <v>7.9327774776546719E-2</v>
      </c>
      <c r="I39" s="2">
        <v>5.5024875621890554E-2</v>
      </c>
      <c r="J39" s="2">
        <v>2.3255816875579001</v>
      </c>
      <c r="K39" s="2">
        <v>2.3205525470109549</v>
      </c>
      <c r="L39" s="2">
        <v>2.3804606393266816</v>
      </c>
      <c r="M39" s="2">
        <f t="shared" si="28"/>
        <v>2.3421982912985122</v>
      </c>
      <c r="N39" s="2">
        <f t="shared" si="29"/>
        <v>3.3231438746039899E-2</v>
      </c>
      <c r="P39" s="2">
        <f>31.72/13.87</f>
        <v>2.2869502523431868</v>
      </c>
    </row>
    <row r="40" spans="2:35" x14ac:dyDescent="0.15">
      <c r="B40" s="2">
        <v>9.4500000000000001E-2</v>
      </c>
      <c r="C40" s="2">
        <v>3.7608670399999973</v>
      </c>
      <c r="D40" s="2">
        <v>3.8876978400000013</v>
      </c>
      <c r="E40" s="2">
        <v>3.5027821997497028</v>
      </c>
      <c r="F40" s="2">
        <f>AVERAGE(C40:E40)</f>
        <v>3.7171156932499003</v>
      </c>
      <c r="G40" s="2">
        <f>_xlfn.STDEV.S(C40:E40)</f>
        <v>0.19615210369547326</v>
      </c>
      <c r="I40" s="2">
        <v>9.4500000000000001E-2</v>
      </c>
      <c r="J40" s="2">
        <v>3.0373071500000002</v>
      </c>
      <c r="K40" s="2">
        <v>3.3043864299999974</v>
      </c>
      <c r="L40" s="2">
        <v>2.9074029899999978</v>
      </c>
      <c r="M40" s="2">
        <f>AVERAGE(J40:L40)</f>
        <v>3.0830321899999986</v>
      </c>
      <c r="N40" s="2">
        <f>_xlfn.STDEV.S(J40:L40)</f>
        <v>0.20240318023887227</v>
      </c>
    </row>
    <row r="41" spans="2:35" x14ac:dyDescent="0.15">
      <c r="B41" s="2">
        <v>0.1575</v>
      </c>
      <c r="C41" s="2">
        <v>6.5464706900000005</v>
      </c>
      <c r="D41" s="2">
        <v>6.332900249999998</v>
      </c>
      <c r="E41" s="2">
        <v>6.2439978200000006</v>
      </c>
      <c r="F41" s="2">
        <f>AVERAGE(C41:E41)</f>
        <v>6.3744562533333324</v>
      </c>
      <c r="G41" s="2">
        <f>_xlfn.STDEV.S(C41:E41)</f>
        <v>0.15545943307271295</v>
      </c>
      <c r="I41" s="2">
        <v>0.1575</v>
      </c>
      <c r="J41" s="2">
        <v>5.4366347499999996</v>
      </c>
      <c r="K41" s="2">
        <v>5.4106805199999997</v>
      </c>
      <c r="L41" s="2">
        <v>5.0649735599999985</v>
      </c>
      <c r="M41" s="2">
        <f>AVERAGE(J41:L41)</f>
        <v>5.3040962766666659</v>
      </c>
      <c r="N41" s="2">
        <f>_xlfn.STDEV.S(J41:L41)</f>
        <v>0.20749255585022489</v>
      </c>
    </row>
    <row r="42" spans="2:35" x14ac:dyDescent="0.15">
      <c r="B42" s="2">
        <v>0.24</v>
      </c>
      <c r="C42" s="2">
        <v>8.3138086399999978</v>
      </c>
      <c r="D42" s="2">
        <v>8.334379099999996</v>
      </c>
      <c r="E42" s="2">
        <v>8.3696102124220317</v>
      </c>
      <c r="F42" s="2">
        <f>AVERAGE(C42:E42)</f>
        <v>8.3392659841406758</v>
      </c>
      <c r="G42" s="2">
        <f>_xlfn.STDEV.S(C42:E42)</f>
        <v>2.82199415067819E-2</v>
      </c>
      <c r="I42" s="2">
        <v>0.24</v>
      </c>
      <c r="J42" s="2">
        <v>7.1015059699999981</v>
      </c>
      <c r="K42" s="2">
        <v>7.4986372899999978</v>
      </c>
      <c r="L42" s="2">
        <v>7.294902789288912</v>
      </c>
      <c r="M42" s="2">
        <f>AVERAGE(J42:L42)</f>
        <v>7.2983486830963029</v>
      </c>
      <c r="N42" s="2">
        <f>_xlfn.STDEV.S(J42:L42)</f>
        <v>0.19858808365391517</v>
      </c>
    </row>
    <row r="43" spans="2:35" x14ac:dyDescent="0.15">
      <c r="B43" s="2">
        <v>0.3</v>
      </c>
      <c r="C43" s="2">
        <v>11.727442790000001</v>
      </c>
      <c r="D43" s="2">
        <v>11.569763238794003</v>
      </c>
      <c r="F43" s="2">
        <f>AVERAGE(C43:E43)</f>
        <v>11.648603014397002</v>
      </c>
      <c r="G43" s="2">
        <f>_xlfn.STDEV.S(C43:E43)</f>
        <v>0.1114962799122127</v>
      </c>
      <c r="I43" s="2">
        <v>0.3</v>
      </c>
      <c r="J43" s="2">
        <v>9.748899030000004</v>
      </c>
      <c r="K43" s="2">
        <v>9.7990246199999973</v>
      </c>
      <c r="M43" s="2">
        <f>AVERAGE(J43:L43)</f>
        <v>9.7739618250000007</v>
      </c>
      <c r="N43" s="2">
        <f>_xlfn.STDEV.S(J43:L43)</f>
        <v>3.544414459997184E-2</v>
      </c>
    </row>
    <row r="47" spans="2:35" x14ac:dyDescent="0.15">
      <c r="B47" s="113" t="s">
        <v>53</v>
      </c>
    </row>
    <row r="49" spans="2:6" x14ac:dyDescent="0.15">
      <c r="B49" s="2" t="s">
        <v>26</v>
      </c>
    </row>
    <row r="51" spans="2:6" x14ac:dyDescent="0.15">
      <c r="B51" s="2" t="s">
        <v>54</v>
      </c>
      <c r="F51" s="2" t="s">
        <v>10</v>
      </c>
    </row>
    <row r="52" spans="2:6" x14ac:dyDescent="0.15">
      <c r="B52" s="2">
        <v>0</v>
      </c>
      <c r="C52" s="2">
        <v>0.35499999999999998</v>
      </c>
      <c r="D52" s="2">
        <v>0.35499999999999998</v>
      </c>
      <c r="E52" s="2">
        <v>0</v>
      </c>
      <c r="F52" s="2">
        <v>8.9784000000000003E-2</v>
      </c>
    </row>
    <row r="53" spans="2:6" x14ac:dyDescent="0.15">
      <c r="B53" s="2">
        <v>0.03</v>
      </c>
      <c r="C53" s="2">
        <v>0.92182953000000045</v>
      </c>
      <c r="D53" s="2">
        <v>1.4749272480000009</v>
      </c>
      <c r="E53" s="2">
        <v>1.1199272480000009</v>
      </c>
      <c r="F53" s="2">
        <v>0.12584000000000001</v>
      </c>
    </row>
    <row r="54" spans="2:6" x14ac:dyDescent="0.15">
      <c r="B54" s="2">
        <v>0.09</v>
      </c>
      <c r="C54" s="2">
        <v>1.1410564700000017</v>
      </c>
      <c r="D54" s="2">
        <v>2.2821129400000033</v>
      </c>
      <c r="E54" s="2">
        <v>1.9271129400000033</v>
      </c>
      <c r="F54" s="2">
        <v>0.13958699999999999</v>
      </c>
    </row>
    <row r="55" spans="2:6" x14ac:dyDescent="0.15">
      <c r="B55" s="2">
        <v>0.15</v>
      </c>
      <c r="C55" s="2">
        <v>1.3889357200000005</v>
      </c>
      <c r="D55" s="2">
        <v>3.4723393000000016</v>
      </c>
      <c r="E55" s="2">
        <v>3.1173393000000016</v>
      </c>
      <c r="F55" s="2">
        <v>0.112874</v>
      </c>
    </row>
    <row r="56" spans="2:6" x14ac:dyDescent="0.15">
      <c r="B56" s="2">
        <v>0.24</v>
      </c>
      <c r="C56" s="2">
        <v>1.4860032900000002</v>
      </c>
      <c r="D56" s="2">
        <v>5.2010115150000011</v>
      </c>
      <c r="E56" s="2">
        <v>4.8460115150000007</v>
      </c>
      <c r="F56" s="2">
        <v>0.159354</v>
      </c>
    </row>
    <row r="57" spans="2:6" x14ac:dyDescent="0.15">
      <c r="B57" s="2">
        <v>0.3</v>
      </c>
      <c r="C57" s="2">
        <v>1.8288742399999998</v>
      </c>
      <c r="D57" s="2">
        <v>6.949722111999999</v>
      </c>
      <c r="E57" s="2">
        <v>6.5947221119999995</v>
      </c>
      <c r="F57" s="2">
        <v>0.102578</v>
      </c>
    </row>
    <row r="61" spans="2:6" x14ac:dyDescent="0.15">
      <c r="B61" s="2" t="s">
        <v>40</v>
      </c>
      <c r="F61" s="2" t="s">
        <v>10</v>
      </c>
    </row>
    <row r="62" spans="2:6" x14ac:dyDescent="0.15">
      <c r="B62" s="2">
        <v>0</v>
      </c>
      <c r="C62" s="2">
        <v>0.35</v>
      </c>
      <c r="D62" s="2">
        <v>0.35</v>
      </c>
      <c r="F62" s="2">
        <v>8.9741500000000002E-2</v>
      </c>
    </row>
    <row r="63" spans="2:6" x14ac:dyDescent="0.15">
      <c r="B63" s="2">
        <v>0.09</v>
      </c>
      <c r="C63" s="2">
        <v>1.1514872800000007</v>
      </c>
      <c r="D63" s="2">
        <v>1.3817847360000008</v>
      </c>
      <c r="E63" s="2">
        <v>1.031784736000001</v>
      </c>
      <c r="F63" s="2">
        <v>0.18974150000000001</v>
      </c>
    </row>
    <row r="64" spans="2:6" x14ac:dyDescent="0.15">
      <c r="B64" s="2">
        <v>0.24</v>
      </c>
      <c r="C64" s="2">
        <v>2.3326837799999991</v>
      </c>
      <c r="D64" s="2">
        <v>3.2657572919999986</v>
      </c>
      <c r="E64" s="2">
        <v>2.9157572919999986</v>
      </c>
      <c r="F64" s="2">
        <v>0.15873999999999999</v>
      </c>
    </row>
    <row r="65" spans="2:10" x14ac:dyDescent="0.15">
      <c r="B65" s="2">
        <v>0.39</v>
      </c>
      <c r="D65" s="2">
        <v>5.3780210000000004</v>
      </c>
      <c r="E65" s="2">
        <v>5.0280210000000007</v>
      </c>
      <c r="F65" s="2">
        <v>0.16985639999999999</v>
      </c>
    </row>
    <row r="66" spans="2:10" x14ac:dyDescent="0.15">
      <c r="B66" s="2">
        <v>0.54</v>
      </c>
      <c r="D66" s="2">
        <v>6.9949019999999997</v>
      </c>
      <c r="E66" s="2">
        <v>6.6449020000000001</v>
      </c>
      <c r="F66" s="2">
        <v>0.26849099999999998</v>
      </c>
    </row>
    <row r="67" spans="2:10" x14ac:dyDescent="0.15">
      <c r="B67" s="2">
        <v>0.6</v>
      </c>
      <c r="D67" s="2">
        <v>8.6756919999999997</v>
      </c>
      <c r="E67" s="2">
        <v>8.3256920000000001</v>
      </c>
      <c r="F67" s="2">
        <v>0.27985460000000001</v>
      </c>
    </row>
    <row r="69" spans="2:10" x14ac:dyDescent="0.15">
      <c r="B69" s="2" t="s">
        <v>55</v>
      </c>
      <c r="D69" s="2" t="s">
        <v>10</v>
      </c>
    </row>
    <row r="70" spans="2:10" x14ac:dyDescent="0.15">
      <c r="B70" s="2">
        <v>0</v>
      </c>
      <c r="C70" s="2">
        <v>0.33453108874148202</v>
      </c>
      <c r="D70" s="2">
        <v>8.9741500000000002E-2</v>
      </c>
    </row>
    <row r="71" spans="2:10" x14ac:dyDescent="0.15">
      <c r="B71" s="2">
        <v>0.03</v>
      </c>
      <c r="C71" s="2">
        <v>1.27865321115107</v>
      </c>
      <c r="D71" s="2">
        <v>4.0171231213964485E-3</v>
      </c>
    </row>
    <row r="72" spans="2:10" x14ac:dyDescent="0.15">
      <c r="B72" s="2">
        <v>0.09</v>
      </c>
      <c r="C72" s="2">
        <v>2.9114953995535684</v>
      </c>
      <c r="D72" s="2">
        <v>0.10734276211102377</v>
      </c>
    </row>
    <row r="73" spans="2:10" x14ac:dyDescent="0.15">
      <c r="B73" s="2">
        <v>0.15</v>
      </c>
      <c r="C73" s="2">
        <v>4.6553880947233282</v>
      </c>
      <c r="D73" s="2">
        <v>0.26010246578747259</v>
      </c>
    </row>
    <row r="74" spans="2:10" x14ac:dyDescent="0.15">
      <c r="B74" s="2">
        <v>0.24</v>
      </c>
      <c r="C74" s="2">
        <v>8.7091135512552302</v>
      </c>
      <c r="D74" s="2">
        <v>0.18630838538832506</v>
      </c>
    </row>
    <row r="75" spans="2:10" x14ac:dyDescent="0.15">
      <c r="B75" s="2">
        <v>1.4999999999999999E-2</v>
      </c>
      <c r="C75" s="2">
        <v>0.84209962124999904</v>
      </c>
      <c r="D75" s="2">
        <v>4.3200526162032737E-2</v>
      </c>
    </row>
    <row r="80" spans="2:10" x14ac:dyDescent="0.25">
      <c r="C80" s="1" t="s">
        <v>73</v>
      </c>
      <c r="D80" s="1" t="s">
        <v>56</v>
      </c>
      <c r="E80" s="1"/>
      <c r="F80" s="1"/>
      <c r="G80" s="1"/>
      <c r="H80" s="1"/>
      <c r="I80" s="1"/>
      <c r="J80" s="1"/>
    </row>
    <row r="81" spans="3:12" x14ac:dyDescent="0.25">
      <c r="C81" s="1"/>
      <c r="D81" s="1" t="s">
        <v>57</v>
      </c>
      <c r="E81" s="1">
        <v>6</v>
      </c>
      <c r="F81" s="1"/>
      <c r="G81" s="1"/>
      <c r="H81" s="1"/>
      <c r="I81" s="1"/>
      <c r="J81" s="1"/>
    </row>
    <row r="82" spans="3:12" ht="16.5" x14ac:dyDescent="0.3">
      <c r="C82" s="1"/>
      <c r="D82" s="1" t="s">
        <v>58</v>
      </c>
      <c r="E82" s="1">
        <v>3.14</v>
      </c>
      <c r="F82" s="1"/>
      <c r="G82" s="1"/>
      <c r="H82" s="1"/>
      <c r="I82" s="1"/>
      <c r="J82" s="1"/>
    </row>
    <row r="83" spans="3:12" x14ac:dyDescent="0.25">
      <c r="C83" s="1"/>
      <c r="D83" s="1" t="s">
        <v>59</v>
      </c>
      <c r="E83" s="1"/>
      <c r="F83" s="1">
        <f>3.14*E92</f>
        <v>2.7920400378383045E-3</v>
      </c>
      <c r="G83" s="1" t="s">
        <v>60</v>
      </c>
      <c r="H83" s="1"/>
      <c r="I83" s="1"/>
      <c r="J83" s="1"/>
    </row>
    <row r="84" spans="3:12" ht="15.75" x14ac:dyDescent="0.25">
      <c r="C84" s="1"/>
      <c r="D84" s="122" t="s">
        <v>61</v>
      </c>
      <c r="E84" s="123" t="s">
        <v>2</v>
      </c>
      <c r="F84" s="124">
        <f>1000*F83/0.1</f>
        <v>27.920400378383043</v>
      </c>
      <c r="G84" s="124" t="s">
        <v>62</v>
      </c>
      <c r="H84" s="124"/>
      <c r="I84" s="1"/>
      <c r="J84" s="1">
        <v>40.086456054197917</v>
      </c>
      <c r="K84" s="2">
        <v>27.920400378383043</v>
      </c>
      <c r="L84" s="2">
        <v>50.16140967492899</v>
      </c>
    </row>
    <row r="85" spans="3:12" x14ac:dyDescent="0.25">
      <c r="C85" s="1" t="s">
        <v>63</v>
      </c>
      <c r="D85" s="55">
        <f>(E85-1.2015)/32.643</f>
        <v>9.2048325807661067E-3</v>
      </c>
      <c r="E85" s="17">
        <v>1.501973349933948</v>
      </c>
      <c r="F85" s="1"/>
      <c r="G85" s="1"/>
      <c r="H85" s="1"/>
      <c r="I85" s="1"/>
      <c r="J85" s="1"/>
    </row>
    <row r="86" spans="3:12" x14ac:dyDescent="0.25">
      <c r="C86" s="1" t="s">
        <v>64</v>
      </c>
      <c r="D86" s="55">
        <f t="shared" ref="D86:D91" si="30">(E86-1.2015)/32.643</f>
        <v>9.1050363018104936E-3</v>
      </c>
      <c r="E86" s="13">
        <v>1.4987157</v>
      </c>
      <c r="F86" s="1"/>
      <c r="G86" s="1"/>
      <c r="H86" s="1"/>
      <c r="I86" s="1"/>
      <c r="J86" s="1"/>
    </row>
    <row r="87" spans="3:12" x14ac:dyDescent="0.25">
      <c r="C87" s="1" t="s">
        <v>65</v>
      </c>
      <c r="D87" s="55">
        <f t="shared" si="30"/>
        <v>6.9614281775572063E-3</v>
      </c>
      <c r="E87" s="13">
        <v>1.4287418999999999</v>
      </c>
      <c r="F87" s="1"/>
      <c r="G87" s="1"/>
      <c r="H87" s="1"/>
      <c r="I87" s="1"/>
      <c r="J87" s="1"/>
    </row>
    <row r="88" spans="3:12" x14ac:dyDescent="0.25">
      <c r="C88" s="1" t="s">
        <v>66</v>
      </c>
      <c r="D88" s="55">
        <f t="shared" si="30"/>
        <v>8.3332353031277794E-3</v>
      </c>
      <c r="E88" s="13">
        <v>1.4735218000000001</v>
      </c>
      <c r="F88" s="1">
        <f>AVERAGE(E85:E91)</f>
        <v>1.4805866214191354</v>
      </c>
      <c r="G88" s="1">
        <f>F88/1.34</f>
        <v>1.1049153891187578</v>
      </c>
      <c r="H88" s="1"/>
      <c r="I88" s="1"/>
      <c r="J88" s="1"/>
    </row>
    <row r="89" spans="3:12" x14ac:dyDescent="0.25">
      <c r="C89" s="1" t="s">
        <v>67</v>
      </c>
      <c r="D89" s="55">
        <f t="shared" si="30"/>
        <v>8.179998774622433E-3</v>
      </c>
      <c r="E89" s="13">
        <v>1.4685197000000001</v>
      </c>
      <c r="F89" s="1"/>
      <c r="G89" s="1"/>
      <c r="H89" s="1"/>
      <c r="I89" s="1"/>
      <c r="J89" s="1"/>
    </row>
    <row r="90" spans="3:12" x14ac:dyDescent="0.25">
      <c r="C90" s="1" t="s">
        <v>68</v>
      </c>
      <c r="D90" s="55">
        <f t="shared" si="30"/>
        <v>9.6780014091842059E-3</v>
      </c>
      <c r="E90" s="13">
        <v>1.5174190000000001</v>
      </c>
      <c r="F90" s="1"/>
      <c r="G90" s="1"/>
      <c r="H90" s="1"/>
      <c r="I90" s="1"/>
      <c r="J90" s="1"/>
    </row>
    <row r="91" spans="3:12" x14ac:dyDescent="0.25">
      <c r="C91" s="1" t="s">
        <v>69</v>
      </c>
      <c r="D91" s="19">
        <f t="shared" si="30"/>
        <v>8.3851024721992486E-3</v>
      </c>
      <c r="E91" s="15">
        <v>1.4752149000000001</v>
      </c>
      <c r="F91" s="1"/>
      <c r="G91" s="1"/>
      <c r="H91" s="1"/>
      <c r="I91" s="1"/>
      <c r="J91" s="1"/>
    </row>
    <row r="92" spans="3:12" x14ac:dyDescent="0.25">
      <c r="C92" s="1"/>
      <c r="D92" s="1" t="s">
        <v>70</v>
      </c>
      <c r="E92" s="1">
        <f>_xlfn.STDEV.S(D85:D91)</f>
        <v>8.8918472542621162E-4</v>
      </c>
      <c r="F92" s="1" t="s">
        <v>59</v>
      </c>
      <c r="G92" s="1"/>
      <c r="H92" s="1">
        <f>3.14*E101</f>
        <v>4.0086456054197923E-3</v>
      </c>
      <c r="I92" s="1"/>
      <c r="J92" s="1"/>
    </row>
    <row r="93" spans="3:12" ht="15.75" x14ac:dyDescent="0.25">
      <c r="C93" s="1"/>
      <c r="D93" s="122" t="s">
        <v>71</v>
      </c>
      <c r="E93" s="123" t="s">
        <v>2</v>
      </c>
      <c r="F93" s="124" t="s">
        <v>71</v>
      </c>
      <c r="G93" s="124"/>
      <c r="H93" s="124">
        <f>1000*H92/0.1</f>
        <v>40.086456054197917</v>
      </c>
      <c r="I93" s="124" t="s">
        <v>74</v>
      </c>
      <c r="J93" s="124"/>
    </row>
    <row r="94" spans="3:12" x14ac:dyDescent="0.25">
      <c r="C94" s="1" t="s">
        <v>63</v>
      </c>
      <c r="D94" s="55">
        <f>(E94-1.3354)/20.069</f>
        <v>1.5002515443893572E-2</v>
      </c>
      <c r="E94" s="17">
        <v>1.6364854824435</v>
      </c>
      <c r="F94" s="1"/>
      <c r="G94" s="1"/>
      <c r="H94" s="1"/>
      <c r="I94" s="1"/>
      <c r="J94" s="1"/>
    </row>
    <row r="95" spans="3:12" x14ac:dyDescent="0.25">
      <c r="C95" s="1" t="s">
        <v>64</v>
      </c>
      <c r="D95" s="55">
        <f t="shared" ref="D95:D100" si="31">(E95-1.3354)/20.069</f>
        <v>1.2544167621705127E-2</v>
      </c>
      <c r="E95" s="13">
        <v>1.5871489000000001</v>
      </c>
      <c r="F95" s="1"/>
      <c r="G95" s="1"/>
      <c r="H95" s="1"/>
      <c r="I95" s="1"/>
      <c r="J95" s="1"/>
    </row>
    <row r="96" spans="3:12" x14ac:dyDescent="0.25">
      <c r="C96" s="1" t="s">
        <v>65</v>
      </c>
      <c r="D96" s="55">
        <f t="shared" si="31"/>
        <v>1.4972046439782756E-2</v>
      </c>
      <c r="E96" s="13">
        <v>1.6358740000000001</v>
      </c>
      <c r="F96" s="1"/>
      <c r="G96" s="1"/>
      <c r="H96" s="1"/>
      <c r="I96" s="1"/>
      <c r="J96" s="1"/>
    </row>
    <row r="97" spans="3:10" x14ac:dyDescent="0.25">
      <c r="C97" s="1" t="s">
        <v>66</v>
      </c>
      <c r="D97" s="55">
        <f t="shared" si="31"/>
        <v>1.5814644476555891E-2</v>
      </c>
      <c r="E97" s="13">
        <v>1.6527841000000001</v>
      </c>
      <c r="F97" s="1">
        <f>AVERAGE(E94:E100)</f>
        <v>1.6189819132062142</v>
      </c>
      <c r="G97" s="1">
        <f>F97/1.34</f>
        <v>1.2081954576165777</v>
      </c>
      <c r="H97" s="1"/>
      <c r="I97" s="1"/>
      <c r="J97" s="1"/>
    </row>
    <row r="98" spans="3:10" x14ac:dyDescent="0.25">
      <c r="C98" s="1" t="s">
        <v>67</v>
      </c>
      <c r="D98" s="55">
        <f t="shared" si="31"/>
        <v>1.2791045891673725E-2</v>
      </c>
      <c r="E98" s="13">
        <v>1.5921034999999999</v>
      </c>
      <c r="F98" s="1"/>
      <c r="G98" s="1"/>
      <c r="H98" s="1"/>
      <c r="I98" s="1"/>
      <c r="J98" s="1"/>
    </row>
    <row r="99" spans="3:10" x14ac:dyDescent="0.25">
      <c r="C99" s="1" t="s">
        <v>68</v>
      </c>
      <c r="D99" s="55">
        <f t="shared" si="31"/>
        <v>1.3168937665055565E-2</v>
      </c>
      <c r="E99" s="13">
        <v>1.59968741</v>
      </c>
      <c r="F99" s="1"/>
      <c r="G99" s="1"/>
      <c r="H99" s="1"/>
      <c r="I99" s="1"/>
      <c r="J99" s="1"/>
    </row>
    <row r="100" spans="3:10" x14ac:dyDescent="0.25">
      <c r="C100" s="1" t="s">
        <v>69</v>
      </c>
      <c r="D100" s="55">
        <f t="shared" si="31"/>
        <v>1.4619064228411981E-2</v>
      </c>
      <c r="E100" s="15">
        <v>1.62879</v>
      </c>
      <c r="F100" s="1"/>
      <c r="G100" s="1"/>
      <c r="H100" s="1"/>
      <c r="I100" s="1"/>
      <c r="J100" s="1"/>
    </row>
    <row r="101" spans="3:10" x14ac:dyDescent="0.25">
      <c r="C101" s="1"/>
      <c r="D101" s="1" t="s">
        <v>70</v>
      </c>
      <c r="E101" s="1">
        <f>_xlfn.STDEV.S(D94:D100)</f>
        <v>1.2766387278406982E-3</v>
      </c>
      <c r="F101" s="1" t="s">
        <v>59</v>
      </c>
      <c r="G101" s="1"/>
      <c r="H101" s="1">
        <f>3.14*E110</f>
        <v>5.0161409674928988E-3</v>
      </c>
      <c r="I101" s="1"/>
      <c r="J101" s="1"/>
    </row>
    <row r="102" spans="3:10" ht="15.75" x14ac:dyDescent="0.25">
      <c r="C102" s="1"/>
      <c r="D102" s="122" t="s">
        <v>27</v>
      </c>
      <c r="E102" s="123" t="s">
        <v>2</v>
      </c>
      <c r="F102" s="124" t="s">
        <v>72</v>
      </c>
      <c r="G102" s="124"/>
      <c r="H102" s="124">
        <f>1000*H101/0.1</f>
        <v>50.16140967492899</v>
      </c>
      <c r="I102" s="124" t="s">
        <v>75</v>
      </c>
      <c r="J102" s="124"/>
    </row>
    <row r="103" spans="3:10" x14ac:dyDescent="0.25">
      <c r="C103" s="1" t="s">
        <v>63</v>
      </c>
      <c r="D103" s="55">
        <f>(E103-1.4446)/13.24</f>
        <v>1.9612062688821742E-2</v>
      </c>
      <c r="E103" s="17">
        <v>1.70426371</v>
      </c>
      <c r="F103" s="1"/>
      <c r="G103" s="1"/>
      <c r="H103" s="1"/>
      <c r="I103" s="1"/>
      <c r="J103" s="1"/>
    </row>
    <row r="104" spans="3:10" x14ac:dyDescent="0.25">
      <c r="C104" s="1" t="s">
        <v>64</v>
      </c>
      <c r="D104" s="55">
        <f t="shared" ref="D104:D109" si="32">(E104-1.4446)/13.24</f>
        <v>2.1341238670694852E-2</v>
      </c>
      <c r="E104" s="13">
        <v>1.727158</v>
      </c>
      <c r="F104" s="1"/>
      <c r="G104" s="1"/>
      <c r="H104" s="1"/>
      <c r="I104" s="1"/>
      <c r="J104" s="1"/>
    </row>
    <row r="105" spans="3:10" x14ac:dyDescent="0.25">
      <c r="C105" s="1" t="s">
        <v>65</v>
      </c>
      <c r="D105" s="55">
        <f t="shared" si="32"/>
        <v>1.8805694864048327E-2</v>
      </c>
      <c r="E105" s="13">
        <v>1.6935874</v>
      </c>
      <c r="F105" s="1"/>
      <c r="G105" s="1"/>
      <c r="H105" s="1"/>
      <c r="I105" s="1"/>
      <c r="J105" s="1"/>
    </row>
    <row r="106" spans="3:10" x14ac:dyDescent="0.25">
      <c r="C106" s="1" t="s">
        <v>66</v>
      </c>
      <c r="D106" s="55">
        <f t="shared" si="32"/>
        <v>2.0240485649546815E-2</v>
      </c>
      <c r="E106" s="13">
        <v>1.7125840299999999</v>
      </c>
      <c r="F106" s="1">
        <f>AVERAGE(E103:E109)</f>
        <v>1.7130469257142857</v>
      </c>
      <c r="G106" s="1">
        <f>F106/1.34</f>
        <v>1.2783932281449892</v>
      </c>
      <c r="H106" s="1"/>
      <c r="I106" s="1"/>
      <c r="J106" s="1"/>
    </row>
    <row r="107" spans="3:10" x14ac:dyDescent="0.25">
      <c r="C107" s="1" t="s">
        <v>67</v>
      </c>
      <c r="D107" s="55">
        <f t="shared" si="32"/>
        <v>1.7984818731117822E-2</v>
      </c>
      <c r="E107" s="13">
        <v>1.6827190000000001</v>
      </c>
      <c r="F107" s="1"/>
      <c r="G107" s="1"/>
      <c r="H107" s="1"/>
      <c r="I107" s="1"/>
      <c r="J107" s="1"/>
    </row>
    <row r="108" spans="3:10" x14ac:dyDescent="0.25">
      <c r="C108" s="1" t="s">
        <v>68</v>
      </c>
      <c r="D108" s="55">
        <f t="shared" si="32"/>
        <v>2.2506521148036238E-2</v>
      </c>
      <c r="E108" s="13">
        <v>1.7425863399999999</v>
      </c>
      <c r="F108" s="1"/>
      <c r="G108" s="1"/>
      <c r="H108" s="1"/>
      <c r="I108" s="1"/>
      <c r="J108" s="1"/>
    </row>
    <row r="109" spans="3:10" x14ac:dyDescent="0.25">
      <c r="C109" s="1" t="s">
        <v>69</v>
      </c>
      <c r="D109" s="55">
        <f t="shared" si="32"/>
        <v>2.1437311178247719E-2</v>
      </c>
      <c r="E109" s="15">
        <v>1.7284299999999999</v>
      </c>
      <c r="F109" s="1"/>
      <c r="G109" s="1"/>
      <c r="H109" s="1"/>
      <c r="I109" s="1"/>
      <c r="J109" s="1"/>
    </row>
    <row r="110" spans="3:10" x14ac:dyDescent="0.25">
      <c r="C110" s="1"/>
      <c r="D110" s="1" t="s">
        <v>70</v>
      </c>
      <c r="E110" s="1">
        <f>_xlfn.STDEV.S(D103:D109)</f>
        <v>1.5974971234053819E-3</v>
      </c>
      <c r="F110" s="1"/>
      <c r="G110" s="1"/>
      <c r="H110" s="1"/>
      <c r="I110" s="1"/>
      <c r="J110" s="1"/>
    </row>
  </sheetData>
  <phoneticPr fontId="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A16" workbookViewId="0">
      <selection activeCell="C32" sqref="C32"/>
    </sheetView>
  </sheetViews>
  <sheetFormatPr defaultRowHeight="15.75" x14ac:dyDescent="0.25"/>
  <cols>
    <col min="1" max="16384" width="9" style="136"/>
  </cols>
  <sheetData>
    <row r="1" spans="1:17" x14ac:dyDescent="0.25">
      <c r="B1" s="136" t="s">
        <v>102</v>
      </c>
      <c r="D1" s="139" t="s">
        <v>98</v>
      </c>
      <c r="E1" s="17"/>
      <c r="F1" s="1" t="s">
        <v>99</v>
      </c>
      <c r="G1" s="1"/>
      <c r="H1" s="1" t="s">
        <v>100</v>
      </c>
      <c r="I1" s="1"/>
      <c r="J1" s="1" t="s">
        <v>101</v>
      </c>
      <c r="K1" s="1"/>
    </row>
    <row r="2" spans="1:17" x14ac:dyDescent="0.25">
      <c r="C2" s="22"/>
      <c r="D2" s="136" t="s">
        <v>9</v>
      </c>
      <c r="E2" s="136" t="s">
        <v>10</v>
      </c>
      <c r="F2" s="136" t="s">
        <v>9</v>
      </c>
      <c r="G2" s="136" t="s">
        <v>10</v>
      </c>
      <c r="H2" s="136" t="s">
        <v>9</v>
      </c>
      <c r="I2" s="136" t="s">
        <v>10</v>
      </c>
      <c r="J2" s="136" t="s">
        <v>9</v>
      </c>
      <c r="K2" s="136" t="s">
        <v>10</v>
      </c>
    </row>
    <row r="3" spans="1:17" x14ac:dyDescent="0.25">
      <c r="C3" s="139">
        <v>0</v>
      </c>
      <c r="D3" s="143">
        <v>1.2940814149018907</v>
      </c>
      <c r="E3" s="17">
        <v>8.4759139999999997E-2</v>
      </c>
      <c r="F3" s="50">
        <v>3.7036804057500001</v>
      </c>
      <c r="G3" s="29">
        <v>0.108745861</v>
      </c>
      <c r="H3" s="50">
        <v>3.1195788430000002</v>
      </c>
      <c r="I3" s="16">
        <v>2.1393809457122701E-2</v>
      </c>
      <c r="J3" s="50">
        <v>2.6560828700000001</v>
      </c>
      <c r="K3" s="17">
        <v>0.102139380945712</v>
      </c>
    </row>
    <row r="4" spans="1:17" x14ac:dyDescent="0.25">
      <c r="C4" s="56">
        <v>0.67924528301886788</v>
      </c>
      <c r="D4" s="56">
        <v>1.2807083145574367</v>
      </c>
      <c r="E4" s="13">
        <v>0.10543297920624285</v>
      </c>
      <c r="F4" s="51">
        <v>3.7618756891148841</v>
      </c>
      <c r="G4" s="12">
        <v>9.355022715118174E-3</v>
      </c>
      <c r="H4" s="51">
        <v>3.0262137806035998</v>
      </c>
      <c r="I4" s="12">
        <v>7.7283177932335453E-2</v>
      </c>
      <c r="J4" s="51">
        <v>2.7258920699999987</v>
      </c>
      <c r="K4" s="13">
        <v>1.7204332250339203E-2</v>
      </c>
    </row>
    <row r="5" spans="1:17" x14ac:dyDescent="0.25">
      <c r="C5" s="56">
        <v>2.0377358490566038</v>
      </c>
      <c r="D5" s="56">
        <v>1.3225307149999992</v>
      </c>
      <c r="E5" s="13">
        <v>3.0613813324877056E-2</v>
      </c>
      <c r="F5" s="51">
        <v>3.710838390000001</v>
      </c>
      <c r="G5" s="12">
        <v>0.11417244488099849</v>
      </c>
      <c r="H5" s="51">
        <v>3.1326726469999997</v>
      </c>
      <c r="I5" s="12">
        <v>0.10900272073570223</v>
      </c>
      <c r="J5" s="51">
        <v>2.5321654250000005</v>
      </c>
      <c r="K5" s="13">
        <v>1.7780694987674674E-3</v>
      </c>
    </row>
    <row r="6" spans="1:17" x14ac:dyDescent="0.25">
      <c r="C6" s="56">
        <v>4.0754716981132075</v>
      </c>
      <c r="D6" s="56">
        <v>1.3214746550000012</v>
      </c>
      <c r="E6" s="13">
        <v>5.8712497326549339E-2</v>
      </c>
      <c r="F6" s="51">
        <v>3.7317093133333352</v>
      </c>
      <c r="G6" s="12">
        <v>0.11933538554304808</v>
      </c>
      <c r="H6" s="51">
        <v>3.1828639150000004</v>
      </c>
      <c r="I6" s="12">
        <v>7.5320484001906302E-2</v>
      </c>
      <c r="J6" s="51">
        <v>2.61494246</v>
      </c>
      <c r="K6" s="13">
        <v>8.9972889092142808E-2</v>
      </c>
    </row>
    <row r="7" spans="1:17" x14ac:dyDescent="0.25">
      <c r="C7" s="18">
        <v>6.7924528301886795</v>
      </c>
      <c r="D7" s="18">
        <v>1.2821310649999997</v>
      </c>
      <c r="E7" s="15">
        <v>1.1106504998893735E-2</v>
      </c>
      <c r="F7" s="54">
        <v>3.7022175162941533</v>
      </c>
      <c r="G7" s="14">
        <v>0.12286740645926789</v>
      </c>
      <c r="H7" s="54">
        <v>3.149459499999999</v>
      </c>
      <c r="I7" s="14">
        <v>1.0434859622782729E-2</v>
      </c>
      <c r="J7" s="54">
        <v>2.69466596</v>
      </c>
      <c r="K7" s="15">
        <v>0.1724547737972103</v>
      </c>
    </row>
    <row r="8" spans="1:17" x14ac:dyDescent="0.25">
      <c r="C8" s="1"/>
      <c r="D8" s="1"/>
      <c r="E8" s="1" t="s">
        <v>10</v>
      </c>
      <c r="F8" s="1">
        <f>_xlfn.STDEV.S(F3:F7)</f>
        <v>2.5178643887429498E-2</v>
      </c>
      <c r="G8" s="1"/>
      <c r="H8" s="1">
        <f>_xlfn.STDEV.S(H3:H7)</f>
        <v>5.8636769833103702E-2</v>
      </c>
      <c r="I8" s="1"/>
      <c r="J8" s="1">
        <f>_xlfn.STDEV.S(J3:J7)</f>
        <v>7.5445093441406208E-2</v>
      </c>
      <c r="K8" s="1"/>
    </row>
    <row r="9" spans="1:17" x14ac:dyDescent="0.25">
      <c r="C9" s="1"/>
      <c r="D9" s="1"/>
      <c r="E9" s="1" t="s">
        <v>9</v>
      </c>
      <c r="F9" s="1">
        <f>AVERAGE(F3:F7)</f>
        <v>3.722064262898475</v>
      </c>
      <c r="G9" s="1"/>
      <c r="H9" s="1">
        <f>AVERAGE(H3:H7)</f>
        <v>3.1221577371207201</v>
      </c>
      <c r="I9" s="1"/>
      <c r="J9" s="1">
        <f>AVERAGE(J3:J7)</f>
        <v>2.644749757</v>
      </c>
      <c r="K9" s="1"/>
    </row>
    <row r="10" spans="1:17" x14ac:dyDescent="0.25">
      <c r="C10" s="1"/>
      <c r="D10" s="1"/>
      <c r="E10" s="1" t="s">
        <v>42</v>
      </c>
      <c r="F10" s="1">
        <f>F8/F9</f>
        <v>6.7646988630503087E-3</v>
      </c>
      <c r="G10" s="1"/>
      <c r="H10" s="1">
        <f>H8/H9</f>
        <v>1.8780847980851546E-2</v>
      </c>
      <c r="I10" s="1"/>
      <c r="J10" s="1">
        <f>J8/J9</f>
        <v>2.8526363691582412E-2</v>
      </c>
      <c r="K10" s="1"/>
    </row>
    <row r="11" spans="1:17" x14ac:dyDescent="0.25">
      <c r="A11"/>
      <c r="B11"/>
      <c r="J11"/>
    </row>
    <row r="12" spans="1:17" x14ac:dyDescent="0.25">
      <c r="A12" s="137"/>
      <c r="B12" s="137"/>
      <c r="J12"/>
    </row>
    <row r="13" spans="1:17" x14ac:dyDescent="0.25">
      <c r="A13" s="137"/>
      <c r="B13" s="22" t="s">
        <v>103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137"/>
      <c r="B14" s="22"/>
      <c r="C14" t="s">
        <v>73</v>
      </c>
      <c r="D14" s="148" t="s">
        <v>2</v>
      </c>
      <c r="E14" s="149"/>
      <c r="F14" s="149"/>
      <c r="G14" s="149"/>
      <c r="H14" s="149"/>
      <c r="I14" s="149"/>
      <c r="J14" s="149"/>
      <c r="K14" s="150"/>
      <c r="L14" s="22"/>
      <c r="M14" s="22"/>
      <c r="N14" s="22"/>
      <c r="O14" s="22"/>
      <c r="P14" s="22"/>
      <c r="Q14" s="22"/>
    </row>
    <row r="15" spans="1:17" x14ac:dyDescent="0.25">
      <c r="A15"/>
      <c r="B15" s="22"/>
      <c r="C15" s="19" t="s">
        <v>116</v>
      </c>
      <c r="D15" s="20" t="s">
        <v>4</v>
      </c>
      <c r="E15" s="20" t="s">
        <v>10</v>
      </c>
      <c r="F15" s="20" t="s">
        <v>99</v>
      </c>
      <c r="G15" s="20" t="s">
        <v>10</v>
      </c>
      <c r="H15" s="20" t="s">
        <v>100</v>
      </c>
      <c r="I15" s="20" t="s">
        <v>10</v>
      </c>
      <c r="J15" s="20" t="s">
        <v>101</v>
      </c>
      <c r="K15" s="21" t="s">
        <v>10</v>
      </c>
      <c r="L15" s="22"/>
      <c r="M15" s="22"/>
      <c r="N15" s="22"/>
      <c r="O15" s="22"/>
      <c r="P15" s="22"/>
      <c r="Q15" s="22"/>
    </row>
    <row r="16" spans="1:17" x14ac:dyDescent="0.25">
      <c r="A16"/>
      <c r="B16" s="22"/>
      <c r="C16" s="56">
        <v>1.1499999999999999</v>
      </c>
      <c r="D16" s="55">
        <v>1.3474816000000001</v>
      </c>
      <c r="E16" s="17">
        <v>2.4866166564680849E-2</v>
      </c>
      <c r="F16" s="25">
        <v>3.6434417349999992</v>
      </c>
      <c r="G16" s="17">
        <v>7.0516435885886212E-3</v>
      </c>
      <c r="H16" s="55">
        <v>3.0322072930000008</v>
      </c>
      <c r="I16" s="17">
        <v>2.8376849909894752E-2</v>
      </c>
      <c r="J16" s="11">
        <v>2.62201203</v>
      </c>
      <c r="K16" s="13">
        <v>0.10016396658104371</v>
      </c>
      <c r="L16" s="22"/>
      <c r="M16" s="22"/>
      <c r="N16" s="22"/>
      <c r="O16" s="22"/>
      <c r="P16" s="22"/>
      <c r="Q16" s="22"/>
    </row>
    <row r="17" spans="1:17" x14ac:dyDescent="0.25">
      <c r="A17"/>
      <c r="B17" s="22"/>
      <c r="C17" s="56">
        <v>3.601</v>
      </c>
      <c r="D17" s="56">
        <v>1.625501333333333</v>
      </c>
      <c r="E17" s="13">
        <v>9.2905033719790295E-2</v>
      </c>
      <c r="F17" s="56">
        <v>3.4015996499999988</v>
      </c>
      <c r="G17" s="13">
        <v>0.11348327032778069</v>
      </c>
      <c r="H17" s="56">
        <v>2.6743082350000007</v>
      </c>
      <c r="I17" s="13">
        <v>0.13713447187889158</v>
      </c>
      <c r="J17" s="11">
        <v>2.2868504500000015</v>
      </c>
      <c r="K17" s="13">
        <v>2.1179686574167945E-2</v>
      </c>
      <c r="L17" s="22"/>
      <c r="M17" s="22"/>
      <c r="N17" s="22"/>
      <c r="O17" s="22"/>
      <c r="P17" s="22"/>
      <c r="Q17" s="22"/>
    </row>
    <row r="18" spans="1:17" x14ac:dyDescent="0.25">
      <c r="A18"/>
      <c r="B18" s="22"/>
      <c r="C18" s="56">
        <v>5.282</v>
      </c>
      <c r="D18" s="56">
        <v>1.7241419400000004</v>
      </c>
      <c r="E18" s="13">
        <v>5.1029874072841389E-2</v>
      </c>
      <c r="F18" s="56">
        <v>2.9669262549999993</v>
      </c>
      <c r="G18" s="13">
        <v>0.12289850318529734</v>
      </c>
      <c r="H18" s="56">
        <v>2.5667724200000004</v>
      </c>
      <c r="I18" s="13">
        <v>6.5675992983792425E-2</v>
      </c>
      <c r="J18" s="11">
        <v>2.3000031199999995</v>
      </c>
      <c r="K18" s="13">
        <v>6.0578262208325455E-3</v>
      </c>
      <c r="L18" s="22"/>
      <c r="M18" s="22"/>
      <c r="N18" s="22"/>
      <c r="O18" s="22"/>
      <c r="P18" s="22"/>
      <c r="Q18" s="22"/>
    </row>
    <row r="19" spans="1:17" x14ac:dyDescent="0.25">
      <c r="A19"/>
      <c r="B19" s="22">
        <f>F19-D19</f>
        <v>1.1935052349999991</v>
      </c>
      <c r="C19" s="56">
        <v>6.3570000000000002</v>
      </c>
      <c r="D19" s="56">
        <v>1.745796695000001</v>
      </c>
      <c r="E19" s="13">
        <v>2.8935990354478986E-2</v>
      </c>
      <c r="F19" s="56">
        <v>2.9393019300000001</v>
      </c>
      <c r="G19" s="13">
        <v>0.10467356836233303</v>
      </c>
      <c r="H19" s="56">
        <v>2.5389688849999992</v>
      </c>
      <c r="I19" s="13">
        <v>2.0631742458357995E-2</v>
      </c>
      <c r="J19" s="11">
        <v>2.2850211849999988</v>
      </c>
      <c r="K19" s="13">
        <v>5.3029918532358597E-2</v>
      </c>
      <c r="L19" s="22"/>
      <c r="M19" s="22"/>
      <c r="N19" s="22"/>
      <c r="O19" s="22"/>
      <c r="P19" s="22"/>
      <c r="Q19" s="22"/>
    </row>
    <row r="20" spans="1:17" x14ac:dyDescent="0.25">
      <c r="A20"/>
      <c r="B20" s="22"/>
      <c r="C20" s="18">
        <v>7.75</v>
      </c>
      <c r="D20" s="18">
        <v>1.80173904</v>
      </c>
      <c r="E20" s="15">
        <v>8.3834579977673973E-4</v>
      </c>
      <c r="F20" s="18">
        <v>2.8164607050000012</v>
      </c>
      <c r="G20" s="15">
        <v>0.12289850318529734</v>
      </c>
      <c r="H20" s="18">
        <v>2.4743082350000014</v>
      </c>
      <c r="I20" s="15">
        <v>1.9239930038813819E-2</v>
      </c>
      <c r="J20" s="53">
        <v>2.0505873835000008</v>
      </c>
      <c r="K20" s="15">
        <v>0.19361364809748813</v>
      </c>
      <c r="L20" s="22"/>
      <c r="M20" s="22"/>
      <c r="N20" s="22"/>
      <c r="O20" s="22"/>
      <c r="P20" s="22"/>
      <c r="Q20" s="22"/>
    </row>
    <row r="21" spans="1:17" x14ac:dyDescent="0.25">
      <c r="A21"/>
      <c r="B21" s="22"/>
      <c r="C21" s="22" t="s">
        <v>117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x14ac:dyDescent="0.25">
      <c r="A22"/>
      <c r="B22" s="22"/>
      <c r="C22" s="19" t="s">
        <v>116</v>
      </c>
      <c r="D22" s="20" t="s">
        <v>4</v>
      </c>
      <c r="E22" s="20" t="s">
        <v>10</v>
      </c>
      <c r="F22" s="20" t="s">
        <v>6</v>
      </c>
      <c r="G22" s="20" t="s">
        <v>10</v>
      </c>
      <c r="H22" s="20" t="s">
        <v>26</v>
      </c>
      <c r="I22" s="20" t="s">
        <v>10</v>
      </c>
      <c r="J22" s="20" t="s">
        <v>40</v>
      </c>
      <c r="K22" s="21" t="s">
        <v>10</v>
      </c>
      <c r="L22" s="22"/>
      <c r="M22" s="22"/>
      <c r="N22" s="22"/>
      <c r="O22" s="22"/>
      <c r="P22" s="22"/>
      <c r="Q22" s="22"/>
    </row>
    <row r="23" spans="1:17" x14ac:dyDescent="0.25">
      <c r="A23"/>
      <c r="B23" s="22"/>
      <c r="C23" s="56">
        <v>1.1499999999999999</v>
      </c>
      <c r="D23" s="12">
        <v>3.4112485290620818</v>
      </c>
      <c r="E23" s="12">
        <v>9.2486616656467999E-2</v>
      </c>
      <c r="F23" s="12">
        <v>5.70267473</v>
      </c>
      <c r="G23" s="12">
        <v>0.36470197551671579</v>
      </c>
      <c r="H23" s="12">
        <v>4.4045430100000011</v>
      </c>
      <c r="I23" s="12">
        <v>2.8376849909894752E-2</v>
      </c>
      <c r="J23" s="11">
        <v>3.8816805686949798</v>
      </c>
      <c r="K23" s="13">
        <v>0.10016396658104371</v>
      </c>
      <c r="L23" s="22"/>
      <c r="M23" s="22"/>
      <c r="N23" s="22"/>
      <c r="O23" s="22"/>
      <c r="P23" s="22"/>
      <c r="Q23" s="22"/>
    </row>
    <row r="24" spans="1:17" x14ac:dyDescent="0.25">
      <c r="A24"/>
      <c r="B24" s="22"/>
      <c r="C24" s="56">
        <v>3.601</v>
      </c>
      <c r="D24" s="12">
        <v>3.7472697345775288</v>
      </c>
      <c r="E24" s="12">
        <v>9.2905033719790295E-2</v>
      </c>
      <c r="F24">
        <v>6.0444235699999975</v>
      </c>
      <c r="G24" s="12">
        <v>0.11346723314598318</v>
      </c>
      <c r="H24" s="12">
        <v>4.9830565699999987</v>
      </c>
      <c r="I24" s="12">
        <v>3.9678391929602513E-2</v>
      </c>
      <c r="J24" s="11">
        <v>4.2914601289999998</v>
      </c>
      <c r="K24" s="13">
        <v>6.0578262208325455E-3</v>
      </c>
      <c r="L24" s="22"/>
      <c r="M24" s="22"/>
      <c r="N24" s="22"/>
      <c r="O24" s="22"/>
      <c r="P24" s="22"/>
      <c r="Q24" s="22"/>
    </row>
    <row r="25" spans="1:17" x14ac:dyDescent="0.25">
      <c r="A25"/>
      <c r="B25" s="22">
        <f>F25-D25</f>
        <v>2.1598617904224753</v>
      </c>
      <c r="C25" s="18">
        <v>7.75</v>
      </c>
      <c r="D25" s="14">
        <v>4.0472697345775259</v>
      </c>
      <c r="E25" s="14">
        <v>8.3834579977673973E-4</v>
      </c>
      <c r="F25" s="14">
        <v>6.2071315250000012</v>
      </c>
      <c r="G25" s="14">
        <v>0.10389915208664501</v>
      </c>
      <c r="H25" s="14">
        <v>5.1935672099999994</v>
      </c>
      <c r="I25" s="14">
        <v>0.12545273551350147</v>
      </c>
      <c r="J25" s="53">
        <v>4.7017252450000004</v>
      </c>
      <c r="K25" s="15">
        <v>8.8852499610557384E-2</v>
      </c>
      <c r="L25" s="22"/>
      <c r="M25" s="22"/>
      <c r="N25" s="22"/>
      <c r="O25" s="22"/>
      <c r="P25" s="22"/>
      <c r="Q25" s="22"/>
    </row>
    <row r="26" spans="1:17" x14ac:dyDescent="0.25">
      <c r="A26"/>
      <c r="B26" s="22"/>
      <c r="C26" s="22"/>
      <c r="D26" s="22"/>
      <c r="E26" s="22"/>
      <c r="F26" s="22">
        <v>2.2914262009379183</v>
      </c>
      <c r="G26" s="22"/>
      <c r="H26" s="22">
        <v>0.99329448093791939</v>
      </c>
      <c r="I26" s="22"/>
      <c r="J26" s="22">
        <v>0.47043203963289804</v>
      </c>
      <c r="K26" s="22"/>
      <c r="L26" s="22"/>
      <c r="M26" s="22"/>
      <c r="N26" s="22"/>
      <c r="O26" s="22"/>
      <c r="P26" s="22"/>
      <c r="Q26" s="22"/>
    </row>
    <row r="27" spans="1:17" x14ac:dyDescent="0.25">
      <c r="A27"/>
      <c r="B27" s="22"/>
      <c r="C27" s="22"/>
      <c r="D27" s="22"/>
      <c r="E27" s="22"/>
      <c r="F27" s="22">
        <v>2.2971538354224688</v>
      </c>
      <c r="G27" s="22"/>
      <c r="H27" s="22">
        <v>1.2357868354224699</v>
      </c>
      <c r="I27" s="22"/>
      <c r="J27" s="22">
        <v>0.54419039442247108</v>
      </c>
      <c r="K27" s="22"/>
      <c r="L27" s="22"/>
      <c r="M27" s="22"/>
      <c r="N27" s="22"/>
      <c r="O27" s="22"/>
      <c r="P27" s="22"/>
      <c r="Q27" s="22"/>
    </row>
    <row r="28" spans="1:17" x14ac:dyDescent="0.25">
      <c r="A28"/>
      <c r="B28" s="22"/>
      <c r="C28" s="22"/>
      <c r="D28" s="22"/>
      <c r="E28" s="22"/>
      <c r="F28" s="22">
        <v>2.1598617904224753</v>
      </c>
      <c r="G28" s="22"/>
      <c r="H28" s="22">
        <v>1.1462974754224735</v>
      </c>
      <c r="I28" s="22"/>
      <c r="J28" s="22">
        <v>0.65445551042247452</v>
      </c>
      <c r="K28" s="22"/>
      <c r="L28" s="22"/>
      <c r="M28" s="22"/>
      <c r="N28" s="22"/>
      <c r="O28" s="22"/>
      <c r="P28" s="22"/>
      <c r="Q28" s="22"/>
    </row>
    <row r="29" spans="1:17" x14ac:dyDescent="0.25">
      <c r="A29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25">
      <c r="A30"/>
      <c r="B30" s="22" t="s">
        <v>118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25">
      <c r="A31"/>
      <c r="B31" s="22"/>
      <c r="C31" s="136" t="s">
        <v>119</v>
      </c>
      <c r="O31" s="22"/>
      <c r="P31" s="22"/>
      <c r="Q31" s="22"/>
    </row>
    <row r="32" spans="1:17" x14ac:dyDescent="0.25">
      <c r="A32"/>
      <c r="B32" s="22"/>
      <c r="O32" s="22"/>
      <c r="P32" s="22"/>
      <c r="Q32" s="22"/>
    </row>
    <row r="33" spans="1:17" x14ac:dyDescent="0.25">
      <c r="A33"/>
      <c r="B33" s="22"/>
      <c r="C33" s="1" t="s">
        <v>85</v>
      </c>
      <c r="D33" s="1" t="s">
        <v>10</v>
      </c>
      <c r="E33" s="1" t="s">
        <v>121</v>
      </c>
      <c r="F33" s="1" t="s">
        <v>6</v>
      </c>
      <c r="G33" s="1" t="s">
        <v>120</v>
      </c>
      <c r="H33" s="1" t="s">
        <v>26</v>
      </c>
      <c r="I33" s="1" t="s">
        <v>120</v>
      </c>
      <c r="J33" s="1" t="s">
        <v>40</v>
      </c>
      <c r="K33" s="1" t="s">
        <v>120</v>
      </c>
      <c r="O33" s="22"/>
      <c r="P33" s="22"/>
      <c r="Q33" s="22"/>
    </row>
    <row r="34" spans="1:17" x14ac:dyDescent="0.25">
      <c r="A34"/>
      <c r="B34" s="22"/>
      <c r="C34" s="55">
        <v>1.2940814149018907</v>
      </c>
      <c r="D34" s="144">
        <v>7.1589739999999999E-2</v>
      </c>
      <c r="E34" s="1">
        <v>0</v>
      </c>
      <c r="F34" s="25">
        <v>3.6152905749999995</v>
      </c>
      <c r="G34" s="17">
        <v>2.3049064771607248E-3</v>
      </c>
      <c r="H34" s="25">
        <v>3.1221311949999997</v>
      </c>
      <c r="I34" s="30">
        <v>0.11596969111566824</v>
      </c>
      <c r="J34" s="25">
        <v>2.642710036155</v>
      </c>
      <c r="K34" s="30">
        <v>5.9217129518593932E-2</v>
      </c>
      <c r="O34" s="22"/>
      <c r="P34" s="22"/>
      <c r="Q34" s="22"/>
    </row>
    <row r="35" spans="1:17" x14ac:dyDescent="0.25">
      <c r="A35"/>
      <c r="B35" s="22"/>
      <c r="C35" s="56">
        <v>1.2664877248942528</v>
      </c>
      <c r="D35" s="145">
        <v>1.0368545999999999E-2</v>
      </c>
      <c r="E35" s="1">
        <v>33</v>
      </c>
      <c r="F35" s="26">
        <v>3.739218665500001</v>
      </c>
      <c r="G35" s="13">
        <v>3.8641059210534789E-2</v>
      </c>
      <c r="H35" s="26">
        <v>3.0748713500000004</v>
      </c>
      <c r="I35" s="31">
        <v>0.10420464342932279</v>
      </c>
      <c r="J35" s="27">
        <v>2.660382968048749</v>
      </c>
      <c r="K35" s="31">
        <v>0.14023597381198005</v>
      </c>
      <c r="O35" s="22"/>
      <c r="P35" s="22"/>
      <c r="Q35" s="22"/>
    </row>
    <row r="36" spans="1:17" x14ac:dyDescent="0.25">
      <c r="A36"/>
      <c r="B36" s="22"/>
      <c r="C36" s="56">
        <v>1.2899449010814099</v>
      </c>
      <c r="D36" s="145">
        <v>4.8751000000000003E-2</v>
      </c>
      <c r="E36" s="1">
        <v>67</v>
      </c>
      <c r="F36" s="26">
        <v>3.6176766849999993</v>
      </c>
      <c r="G36" s="13">
        <v>7.428013E-2</v>
      </c>
      <c r="H36" s="26">
        <v>3.0960743549999989</v>
      </c>
      <c r="I36" s="31">
        <v>0.18930172720926833</v>
      </c>
      <c r="J36" s="26">
        <v>2.6251302199999991</v>
      </c>
      <c r="K36" s="13">
        <v>3.099920773382563E-2</v>
      </c>
      <c r="O36" s="22"/>
      <c r="P36" s="22"/>
      <c r="Q36" s="22"/>
    </row>
    <row r="37" spans="1:17" x14ac:dyDescent="0.25">
      <c r="C37" s="18">
        <v>1.27248942566487</v>
      </c>
      <c r="D37" s="146">
        <v>8.4893999999999997E-2</v>
      </c>
      <c r="E37" s="1">
        <v>100</v>
      </c>
      <c r="F37" s="27">
        <v>3.7004517450000005</v>
      </c>
      <c r="G37" s="15">
        <v>0.13329679124535829</v>
      </c>
      <c r="H37" s="27">
        <v>3.0642230000000001</v>
      </c>
      <c r="I37" s="32">
        <v>8.70845275966248E-2</v>
      </c>
      <c r="J37" s="27">
        <v>2.6110316649999987</v>
      </c>
      <c r="K37" s="32">
        <v>1.1335098479115671E-2</v>
      </c>
    </row>
    <row r="38" spans="1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1:17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1:1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1:17" x14ac:dyDescent="0.25">
      <c r="B41" s="136" t="s">
        <v>125</v>
      </c>
      <c r="C41" s="1"/>
      <c r="D41" s="1"/>
      <c r="E41" s="1"/>
      <c r="F41" s="1"/>
      <c r="G41" s="1"/>
      <c r="H41" s="1"/>
      <c r="I41" s="1"/>
      <c r="J41" s="1"/>
      <c r="K41" s="1"/>
    </row>
    <row r="42" spans="1:17" x14ac:dyDescent="0.25">
      <c r="C42" s="1" t="s">
        <v>85</v>
      </c>
      <c r="D42" s="1" t="s">
        <v>10</v>
      </c>
      <c r="E42" s="1" t="s">
        <v>121</v>
      </c>
      <c r="F42" s="138" t="s">
        <v>6</v>
      </c>
      <c r="G42" s="1" t="s">
        <v>120</v>
      </c>
      <c r="H42" s="1" t="s">
        <v>26</v>
      </c>
      <c r="I42" s="1" t="s">
        <v>120</v>
      </c>
      <c r="J42" s="1" t="s">
        <v>40</v>
      </c>
      <c r="K42" s="1" t="s">
        <v>120</v>
      </c>
    </row>
    <row r="43" spans="1:17" x14ac:dyDescent="0.25">
      <c r="C43" s="55">
        <v>1.2940814149018907</v>
      </c>
      <c r="D43" s="144">
        <v>8.9747149999999998E-2</v>
      </c>
      <c r="E43" s="138">
        <v>0</v>
      </c>
      <c r="F43" s="55">
        <v>3.6368040575</v>
      </c>
      <c r="G43" s="17">
        <v>3.8191999999999997E-2</v>
      </c>
      <c r="H43" s="55">
        <v>3.1195788430000002</v>
      </c>
      <c r="I43" s="17">
        <v>1.3873E-2</v>
      </c>
      <c r="J43" s="55">
        <v>2.6560828700000001</v>
      </c>
      <c r="K43" s="17">
        <v>3.2813000000000002E-2</v>
      </c>
    </row>
    <row r="44" spans="1:17" x14ac:dyDescent="0.25">
      <c r="C44" s="56">
        <v>1.3268343700000003</v>
      </c>
      <c r="D44" s="145">
        <v>6.0368546000000002E-2</v>
      </c>
      <c r="E44" s="138">
        <v>11</v>
      </c>
      <c r="F44" s="56">
        <v>3.6280357250000002</v>
      </c>
      <c r="G44" s="13">
        <v>0.22123322694981734</v>
      </c>
      <c r="H44" s="56">
        <v>3.1516969550000002</v>
      </c>
      <c r="I44" s="13">
        <v>5.6407859549968853E-2</v>
      </c>
      <c r="J44" s="56">
        <v>2.733601675000001</v>
      </c>
      <c r="K44" s="13">
        <v>0.16520760104149118</v>
      </c>
    </row>
    <row r="45" spans="1:17" x14ac:dyDescent="0.25">
      <c r="C45" s="56">
        <v>1.3696133350000004</v>
      </c>
      <c r="D45" s="145">
        <v>5.5487509999999997E-2</v>
      </c>
      <c r="E45" s="138">
        <v>33</v>
      </c>
      <c r="F45" s="56">
        <v>3.6043857099999994</v>
      </c>
      <c r="G45" s="13">
        <v>1.3026957519122917E-2</v>
      </c>
      <c r="H45" s="56">
        <v>3.244439439999999</v>
      </c>
      <c r="I45" s="13">
        <v>5.6407859549968853E-2</v>
      </c>
      <c r="J45" s="56">
        <v>2.5994983999999999</v>
      </c>
      <c r="K45" s="13">
        <v>0.10221403884533231</v>
      </c>
    </row>
    <row r="46" spans="1:17" x14ac:dyDescent="0.25">
      <c r="C46" s="18">
        <v>1.2464679899999993</v>
      </c>
      <c r="D46" s="146">
        <v>8.7954000000000004E-2</v>
      </c>
      <c r="E46" s="138">
        <v>67</v>
      </c>
      <c r="F46" s="18">
        <v>3.5788410350000004</v>
      </c>
      <c r="G46" s="15">
        <v>5.961210685784582E-2</v>
      </c>
      <c r="H46" s="18">
        <v>3.0837022100000002</v>
      </c>
      <c r="I46" s="15">
        <v>2.348887104735083E-2</v>
      </c>
      <c r="J46" s="18">
        <v>2.7070190599999986</v>
      </c>
      <c r="K46" s="15">
        <v>0.10015454791871965</v>
      </c>
    </row>
    <row r="47" spans="1:17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1:17" x14ac:dyDescent="0.25">
      <c r="B48" s="136" t="s">
        <v>126</v>
      </c>
    </row>
    <row r="49" spans="3:11" x14ac:dyDescent="0.25">
      <c r="C49" s="1" t="s">
        <v>85</v>
      </c>
      <c r="D49" s="1" t="s">
        <v>10</v>
      </c>
      <c r="E49" s="1" t="s">
        <v>121</v>
      </c>
      <c r="F49" s="138" t="s">
        <v>6</v>
      </c>
      <c r="G49" s="1" t="s">
        <v>120</v>
      </c>
      <c r="H49" s="1" t="s">
        <v>26</v>
      </c>
      <c r="I49" s="1" t="s">
        <v>120</v>
      </c>
      <c r="J49" s="1" t="s">
        <v>40</v>
      </c>
      <c r="K49" s="1" t="s">
        <v>120</v>
      </c>
    </row>
    <row r="50" spans="3:11" x14ac:dyDescent="0.25">
      <c r="C50" s="55">
        <v>1.2940814149018907</v>
      </c>
      <c r="D50" s="144">
        <v>7.1589739999999999E-2</v>
      </c>
      <c r="E50" s="138">
        <v>0</v>
      </c>
      <c r="F50" s="55">
        <v>3.6351805750000001</v>
      </c>
      <c r="G50" s="17">
        <v>2.7183200000000001E-2</v>
      </c>
      <c r="H50" s="55">
        <v>3.1205488429999999</v>
      </c>
      <c r="I50" s="17">
        <v>2.7182999999999999E-2</v>
      </c>
      <c r="J50" s="55">
        <v>2.6632428699999999</v>
      </c>
      <c r="K50" s="17">
        <v>9.3812900000000005E-2</v>
      </c>
    </row>
    <row r="51" spans="3:11" x14ac:dyDescent="0.25">
      <c r="C51" s="56">
        <v>1.3198960150000012</v>
      </c>
      <c r="D51" s="145">
        <v>1.6495450631129869E-2</v>
      </c>
      <c r="E51" s="138">
        <v>11</v>
      </c>
      <c r="F51" s="56">
        <v>3.66996535</v>
      </c>
      <c r="G51" s="13">
        <v>1.9756563466362867E-4</v>
      </c>
      <c r="H51" s="56">
        <v>3.1423634050000011</v>
      </c>
      <c r="I51" s="13">
        <v>6.3420004153756149E-2</v>
      </c>
      <c r="J51" s="56">
        <v>2.5795579250000014</v>
      </c>
      <c r="K51" s="13">
        <v>0.14163457014504127</v>
      </c>
    </row>
    <row r="52" spans="3:11" x14ac:dyDescent="0.25">
      <c r="C52" s="56">
        <v>1.3386846850000023</v>
      </c>
      <c r="D52" s="145">
        <v>1.1524532385796087E-2</v>
      </c>
      <c r="E52" s="138">
        <v>33</v>
      </c>
      <c r="F52" s="56">
        <v>3.6732684800000008</v>
      </c>
      <c r="G52" s="13">
        <v>0.15910435735210335</v>
      </c>
      <c r="H52" s="56">
        <v>3.0757756250000003</v>
      </c>
      <c r="I52" s="13">
        <v>1.4893599213301743E-2</v>
      </c>
      <c r="J52" s="56">
        <v>2.490426394</v>
      </c>
      <c r="K52" s="13">
        <v>0.10430437942659537</v>
      </c>
    </row>
    <row r="53" spans="3:11" x14ac:dyDescent="0.25">
      <c r="C53" s="18">
        <v>1.3532028250000003</v>
      </c>
      <c r="D53" s="146">
        <v>3.3768499518465431E-2</v>
      </c>
      <c r="E53" s="138">
        <v>67</v>
      </c>
      <c r="F53" s="18">
        <v>3.4648714799999993</v>
      </c>
      <c r="G53" s="15">
        <v>7.0710678118655765E-2</v>
      </c>
      <c r="H53" s="18">
        <v>3.0550579249999981</v>
      </c>
      <c r="I53" s="15">
        <v>0.14488726133849683</v>
      </c>
      <c r="J53" s="18">
        <v>2.590337980000001</v>
      </c>
      <c r="K53" s="15">
        <v>0.12717643557186672</v>
      </c>
    </row>
  </sheetData>
  <mergeCells count="1">
    <mergeCell ref="D14:K14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5"/>
  <sheetViews>
    <sheetView workbookViewId="0">
      <selection activeCell="J27" sqref="J27"/>
    </sheetView>
  </sheetViews>
  <sheetFormatPr defaultRowHeight="14.25" x14ac:dyDescent="0.15"/>
  <sheetData>
    <row r="4" spans="3:8" ht="15.75" x14ac:dyDescent="0.25">
      <c r="C4" s="24" t="s">
        <v>115</v>
      </c>
      <c r="D4" s="132" t="s">
        <v>0</v>
      </c>
      <c r="E4" s="133" t="s">
        <v>1</v>
      </c>
      <c r="F4" s="47" t="s">
        <v>2</v>
      </c>
      <c r="G4" s="1"/>
      <c r="H4" s="1"/>
    </row>
    <row r="5" spans="3:8" ht="15.75" x14ac:dyDescent="0.25">
      <c r="C5" s="1">
        <v>1400</v>
      </c>
      <c r="D5" s="55">
        <v>20</v>
      </c>
      <c r="E5" s="16">
        <v>70</v>
      </c>
      <c r="F5" s="17">
        <v>2.7183444900000033</v>
      </c>
      <c r="G5" s="1" t="s">
        <v>104</v>
      </c>
      <c r="H5" s="1"/>
    </row>
    <row r="6" spans="3:8" ht="15.75" x14ac:dyDescent="0.25">
      <c r="C6" s="1">
        <v>2100</v>
      </c>
      <c r="D6" s="56">
        <v>30</v>
      </c>
      <c r="E6" s="12">
        <v>70</v>
      </c>
      <c r="F6" s="13">
        <v>2.7213247200000019</v>
      </c>
      <c r="G6" s="1" t="s">
        <v>105</v>
      </c>
      <c r="H6" s="1"/>
    </row>
    <row r="7" spans="3:8" ht="15.75" x14ac:dyDescent="0.25">
      <c r="C7" s="1">
        <v>2250</v>
      </c>
      <c r="D7" s="56">
        <v>30</v>
      </c>
      <c r="E7" s="12">
        <v>75</v>
      </c>
      <c r="F7" s="13">
        <v>2.724770620000001</v>
      </c>
      <c r="G7" s="1" t="s">
        <v>106</v>
      </c>
      <c r="H7" s="1"/>
    </row>
    <row r="8" spans="3:8" ht="15.75" x14ac:dyDescent="0.25">
      <c r="C8" s="1">
        <v>2610</v>
      </c>
      <c r="D8" s="56">
        <v>30</v>
      </c>
      <c r="E8" s="12">
        <v>87</v>
      </c>
      <c r="F8" s="13">
        <v>3.2404439600000003</v>
      </c>
      <c r="G8" s="1" t="s">
        <v>107</v>
      </c>
      <c r="H8" s="1"/>
    </row>
    <row r="9" spans="3:8" ht="15.75" x14ac:dyDescent="0.25">
      <c r="C9" s="1">
        <v>1395</v>
      </c>
      <c r="D9" s="56">
        <v>15</v>
      </c>
      <c r="E9" s="12">
        <v>93</v>
      </c>
      <c r="F9" s="13">
        <v>2.9306379499999999</v>
      </c>
      <c r="G9" s="1" t="s">
        <v>108</v>
      </c>
      <c r="H9" s="1"/>
    </row>
    <row r="10" spans="3:8" ht="15.75" x14ac:dyDescent="0.25">
      <c r="C10" s="1">
        <v>2000</v>
      </c>
      <c r="D10" s="56">
        <v>20</v>
      </c>
      <c r="E10" s="12">
        <v>100</v>
      </c>
      <c r="F10" s="13">
        <v>3.1063335000000016</v>
      </c>
      <c r="G10" s="1" t="s">
        <v>109</v>
      </c>
      <c r="H10" s="1"/>
    </row>
    <row r="11" spans="3:8" ht="15.75" x14ac:dyDescent="0.25">
      <c r="C11" s="1">
        <v>3000</v>
      </c>
      <c r="D11" s="56">
        <v>30</v>
      </c>
      <c r="E11" s="12">
        <v>100</v>
      </c>
      <c r="F11" s="13">
        <v>3.7493186499999993</v>
      </c>
      <c r="G11" s="1" t="s">
        <v>110</v>
      </c>
      <c r="H11" s="1"/>
    </row>
    <row r="12" spans="3:8" ht="15.75" x14ac:dyDescent="0.25">
      <c r="C12" s="1">
        <v>2600</v>
      </c>
      <c r="D12" s="56">
        <v>20</v>
      </c>
      <c r="E12" s="12">
        <v>130</v>
      </c>
      <c r="F12" s="13">
        <v>4.4463204999999988</v>
      </c>
      <c r="G12" s="1" t="s">
        <v>111</v>
      </c>
      <c r="H12" s="1"/>
    </row>
    <row r="13" spans="3:8" ht="15.75" x14ac:dyDescent="0.25">
      <c r="C13" s="1">
        <v>1995</v>
      </c>
      <c r="D13" s="56">
        <v>15</v>
      </c>
      <c r="E13" s="12">
        <v>133</v>
      </c>
      <c r="F13" s="13">
        <v>3.5974199300000009</v>
      </c>
      <c r="G13" s="1" t="s">
        <v>112</v>
      </c>
      <c r="H13" s="1"/>
    </row>
    <row r="14" spans="3:8" ht="15.75" x14ac:dyDescent="0.25">
      <c r="C14" s="1">
        <v>2235</v>
      </c>
      <c r="D14" s="56">
        <v>15</v>
      </c>
      <c r="E14" s="12">
        <v>149</v>
      </c>
      <c r="F14" s="13">
        <v>4.44240894</v>
      </c>
      <c r="G14" s="1" t="s">
        <v>113</v>
      </c>
      <c r="H14" s="1"/>
    </row>
    <row r="15" spans="3:8" ht="15.75" x14ac:dyDescent="0.25">
      <c r="C15" s="1">
        <v>2980</v>
      </c>
      <c r="D15" s="18">
        <v>20</v>
      </c>
      <c r="E15" s="14">
        <v>149</v>
      </c>
      <c r="F15" s="15">
        <v>4.9327503058511262</v>
      </c>
      <c r="G15" s="1" t="s">
        <v>114</v>
      </c>
      <c r="H15" s="1"/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1"/>
  <sheetViews>
    <sheetView workbookViewId="0">
      <selection activeCell="N27" sqref="N27"/>
    </sheetView>
  </sheetViews>
  <sheetFormatPr defaultRowHeight="15" x14ac:dyDescent="0.25"/>
  <cols>
    <col min="1" max="1" width="9" style="1"/>
    <col min="2" max="2" width="18.25" style="1" customWidth="1"/>
    <col min="3" max="10" width="9" style="1"/>
    <col min="11" max="11" width="14.75" style="1" customWidth="1"/>
    <col min="12" max="16384" width="9" style="1"/>
  </cols>
  <sheetData>
    <row r="1" spans="1:33" x14ac:dyDescent="0.25">
      <c r="A1" s="151" t="s">
        <v>3</v>
      </c>
      <c r="B1" s="152"/>
    </row>
    <row r="2" spans="1:33" ht="15.75" thickBot="1" x14ac:dyDescent="0.3">
      <c r="A2" s="153" t="s">
        <v>5</v>
      </c>
      <c r="B2" s="154"/>
    </row>
    <row r="3" spans="1:33" x14ac:dyDescent="0.25">
      <c r="A3" s="11"/>
      <c r="B3" s="11"/>
    </row>
    <row r="4" spans="1:33" x14ac:dyDescent="0.25">
      <c r="A4" s="11"/>
      <c r="B4" s="11"/>
    </row>
    <row r="5" spans="1:33" ht="15.75" x14ac:dyDescent="0.25">
      <c r="A5" s="11"/>
      <c r="B5" s="33"/>
      <c r="D5" s="55" t="s">
        <v>6</v>
      </c>
      <c r="E5" s="148" t="s">
        <v>2</v>
      </c>
      <c r="F5" s="149"/>
      <c r="G5" s="155"/>
      <c r="H5" s="155"/>
      <c r="I5" s="156"/>
      <c r="J5" s="148" t="s">
        <v>25</v>
      </c>
      <c r="K5" s="155"/>
      <c r="L5" s="156"/>
      <c r="N5" s="55" t="s">
        <v>26</v>
      </c>
      <c r="O5" s="148" t="s">
        <v>2</v>
      </c>
      <c r="P5" s="149"/>
      <c r="Q5" s="155"/>
      <c r="R5" s="155"/>
      <c r="S5" s="156"/>
      <c r="T5" s="148" t="s">
        <v>25</v>
      </c>
      <c r="U5" s="155"/>
      <c r="V5" s="156"/>
      <c r="X5" s="55" t="s">
        <v>27</v>
      </c>
      <c r="Y5" s="148" t="s">
        <v>2</v>
      </c>
      <c r="Z5" s="149"/>
      <c r="AA5" s="155"/>
      <c r="AB5" s="155"/>
      <c r="AC5" s="156"/>
      <c r="AD5" s="148" t="s">
        <v>25</v>
      </c>
      <c r="AE5" s="155"/>
      <c r="AF5" s="156"/>
    </row>
    <row r="6" spans="1:33" x14ac:dyDescent="0.25">
      <c r="A6" s="11"/>
      <c r="B6" s="11"/>
      <c r="D6" s="65" t="s">
        <v>21</v>
      </c>
      <c r="E6" s="76" t="s">
        <v>7</v>
      </c>
      <c r="F6" s="97" t="s">
        <v>10</v>
      </c>
      <c r="G6" s="80" t="s">
        <v>31</v>
      </c>
      <c r="H6" s="97" t="s">
        <v>10</v>
      </c>
      <c r="I6" s="21" t="s">
        <v>8</v>
      </c>
      <c r="J6" s="19" t="s">
        <v>7</v>
      </c>
      <c r="K6" s="20" t="s">
        <v>31</v>
      </c>
      <c r="L6" s="21" t="s">
        <v>8</v>
      </c>
      <c r="N6" s="65" t="s">
        <v>21</v>
      </c>
      <c r="O6" s="76" t="s">
        <v>7</v>
      </c>
      <c r="P6" s="97" t="s">
        <v>10</v>
      </c>
      <c r="Q6" s="80" t="s">
        <v>31</v>
      </c>
      <c r="R6" s="97" t="s">
        <v>10</v>
      </c>
      <c r="S6" s="21" t="s">
        <v>8</v>
      </c>
      <c r="T6" s="76" t="s">
        <v>7</v>
      </c>
      <c r="U6" s="80" t="s">
        <v>31</v>
      </c>
      <c r="V6" s="21" t="s">
        <v>8</v>
      </c>
      <c r="X6" s="65" t="s">
        <v>21</v>
      </c>
      <c r="Y6" s="76" t="s">
        <v>7</v>
      </c>
      <c r="Z6" s="97" t="s">
        <v>10</v>
      </c>
      <c r="AA6" s="80" t="s">
        <v>31</v>
      </c>
      <c r="AB6" s="97" t="s">
        <v>10</v>
      </c>
      <c r="AC6" s="21" t="s">
        <v>8</v>
      </c>
      <c r="AD6" s="76" t="s">
        <v>7</v>
      </c>
      <c r="AE6" s="80" t="s">
        <v>31</v>
      </c>
      <c r="AF6" s="21" t="s">
        <v>8</v>
      </c>
    </row>
    <row r="7" spans="1:33" x14ac:dyDescent="0.25">
      <c r="A7" s="11"/>
      <c r="B7" s="11"/>
      <c r="D7" s="23">
        <v>0</v>
      </c>
      <c r="E7" s="23">
        <v>1.6557260869565218</v>
      </c>
      <c r="F7" s="95">
        <v>0.35533955131182932</v>
      </c>
      <c r="G7" s="93">
        <v>2.2267770865236614</v>
      </c>
      <c r="H7" s="95">
        <v>0.38580946084762974</v>
      </c>
      <c r="I7" s="17">
        <v>1.2576990004861199</v>
      </c>
      <c r="J7" s="68">
        <v>0</v>
      </c>
      <c r="K7" s="68">
        <v>0</v>
      </c>
      <c r="L7" s="13">
        <v>0</v>
      </c>
      <c r="M7" s="1">
        <f>G7-0.17</f>
        <v>2.0567770865236614</v>
      </c>
      <c r="N7" s="65">
        <v>0</v>
      </c>
      <c r="O7" s="23">
        <v>1.6557260869565218</v>
      </c>
      <c r="P7" s="95">
        <v>0.21406862305293611</v>
      </c>
      <c r="Q7" s="93">
        <v>2.2267770865236614</v>
      </c>
      <c r="R7" s="99">
        <v>0.21758222269955599</v>
      </c>
      <c r="S7" s="17">
        <v>1.2342068972420537</v>
      </c>
      <c r="T7" s="68">
        <v>0</v>
      </c>
      <c r="U7" s="68">
        <v>0</v>
      </c>
      <c r="V7" s="13">
        <v>0</v>
      </c>
      <c r="X7" s="94">
        <v>0</v>
      </c>
      <c r="Y7" s="23">
        <v>1.6557260869565218</v>
      </c>
      <c r="Z7" s="95">
        <v>0.181328539002867</v>
      </c>
      <c r="AA7" s="93">
        <v>1.97</v>
      </c>
      <c r="AB7" s="95">
        <v>5.8300195885641025E-2</v>
      </c>
      <c r="AC7" s="17">
        <v>1.2342068972420537</v>
      </c>
      <c r="AD7" s="68">
        <v>0</v>
      </c>
      <c r="AE7" s="68">
        <v>0</v>
      </c>
      <c r="AF7" s="13">
        <v>0</v>
      </c>
      <c r="AG7" s="1">
        <f>AA7-0.17</f>
        <v>1.8</v>
      </c>
    </row>
    <row r="8" spans="1:33" x14ac:dyDescent="0.25">
      <c r="A8" s="11"/>
      <c r="B8" s="33"/>
      <c r="D8" s="23">
        <v>0.22499999999999998</v>
      </c>
      <c r="E8" s="23">
        <v>5.3852955844084889</v>
      </c>
      <c r="F8" s="96">
        <v>0.32161573748782002</v>
      </c>
      <c r="G8" s="28">
        <v>6.5530254451799292</v>
      </c>
      <c r="H8" s="96">
        <v>0.30873220293297932</v>
      </c>
      <c r="I8" s="13">
        <v>3.6571947902820838</v>
      </c>
      <c r="J8" s="68">
        <f>E8-$E$7</f>
        <v>3.7295694974519673</v>
      </c>
      <c r="K8" s="68">
        <f>G8-$G$7</f>
        <v>4.3262483586562679</v>
      </c>
      <c r="L8" s="13">
        <v>2.3994957897959637</v>
      </c>
      <c r="M8" s="1">
        <f t="shared" ref="M8:M14" si="0">G8-0.17</f>
        <v>6.3830254451799293</v>
      </c>
      <c r="N8" s="65">
        <v>4.4999999999999998E-2</v>
      </c>
      <c r="O8" s="65">
        <v>2.3925815004831441</v>
      </c>
      <c r="P8" s="96">
        <v>0.12932149349006794</v>
      </c>
      <c r="Q8" s="68">
        <v>2.8858536335148792</v>
      </c>
      <c r="R8" s="100">
        <v>0.14216763759180101</v>
      </c>
      <c r="S8" s="13">
        <v>1.323241908743499</v>
      </c>
      <c r="T8" s="68">
        <f>O8-$O$7</f>
        <v>0.73685541352662232</v>
      </c>
      <c r="U8" s="68">
        <f>Q8-$Q$7</f>
        <v>0.65907654699121787</v>
      </c>
      <c r="V8" s="13">
        <v>8.9035011501445327E-2</v>
      </c>
      <c r="X8" s="94">
        <v>7.4999999999999997E-2</v>
      </c>
      <c r="Y8" s="65">
        <v>2.4318912142991493</v>
      </c>
      <c r="Z8" s="96">
        <v>0.26212893583929298</v>
      </c>
      <c r="AA8" s="68">
        <v>2.606716454999999</v>
      </c>
      <c r="AB8" s="96">
        <v>0.13423976809648999</v>
      </c>
      <c r="AC8" s="13">
        <v>1.7711116199999983</v>
      </c>
      <c r="AD8" s="68">
        <f>Y8-$Y$7</f>
        <v>0.77616512734262755</v>
      </c>
      <c r="AE8" s="68">
        <f>AA8-$AA$7</f>
        <v>0.63671645499999907</v>
      </c>
      <c r="AF8" s="13">
        <v>0.53690472275794465</v>
      </c>
      <c r="AG8" s="1">
        <f t="shared" ref="AG8:AG12" si="1">AA8-0.17</f>
        <v>2.4367164549999991</v>
      </c>
    </row>
    <row r="9" spans="1:33" x14ac:dyDescent="0.25">
      <c r="A9" s="11"/>
      <c r="B9" s="11"/>
      <c r="D9" s="23">
        <v>0.15</v>
      </c>
      <c r="E9" s="23">
        <v>4.5492308328885471</v>
      </c>
      <c r="F9" s="96">
        <v>0.35533955131182932</v>
      </c>
      <c r="G9" s="28">
        <v>5.4822991770190539</v>
      </c>
      <c r="H9" s="96">
        <v>0.17629290248762958</v>
      </c>
      <c r="I9" s="13">
        <v>2.8075146112082363</v>
      </c>
      <c r="J9" s="68">
        <f t="shared" ref="J9:J14" si="2">E9-$E$7</f>
        <v>2.8935047459320256</v>
      </c>
      <c r="K9" s="68">
        <f t="shared" ref="K9:K12" si="3">G9-$G$7</f>
        <v>3.2555220904953925</v>
      </c>
      <c r="L9" s="13">
        <v>1.9321526323052354</v>
      </c>
      <c r="M9" s="1">
        <f t="shared" si="0"/>
        <v>5.312299177019054</v>
      </c>
      <c r="N9" s="65">
        <v>0.15</v>
      </c>
      <c r="O9" s="65">
        <v>3.0521587775122199</v>
      </c>
      <c r="P9" s="96">
        <v>0.28544240911514301</v>
      </c>
      <c r="Q9" s="68">
        <v>4.0436817155000018</v>
      </c>
      <c r="R9" s="100">
        <v>0.15260654100774421</v>
      </c>
      <c r="S9" s="13">
        <v>1.7131299534518016</v>
      </c>
      <c r="T9" s="68">
        <f t="shared" ref="T9:T13" si="4">O9-$O$7</f>
        <v>1.3964326905556981</v>
      </c>
      <c r="U9" s="68">
        <f t="shared" ref="U9:U13" si="5">Q9-$Q$7</f>
        <v>1.8169046289763404</v>
      </c>
      <c r="V9" s="13">
        <v>0.47892305620974795</v>
      </c>
      <c r="X9" s="94">
        <v>0.15</v>
      </c>
      <c r="Y9" s="65">
        <v>2.9909897855013994</v>
      </c>
      <c r="Z9" s="96">
        <v>0.15654236072643943</v>
      </c>
      <c r="AA9" s="68">
        <v>3.1403431433333338</v>
      </c>
      <c r="AB9" s="96">
        <v>0.24330944412730199</v>
      </c>
      <c r="AC9" s="13">
        <v>1.9869832100000007</v>
      </c>
      <c r="AD9" s="68">
        <f t="shared" ref="AD9:AD10" si="6">Y9-$Y$7</f>
        <v>1.3352636985448776</v>
      </c>
      <c r="AE9" s="68">
        <f>AA9-$AA$7</f>
        <v>1.1703431433333338</v>
      </c>
      <c r="AF9" s="13">
        <v>0.75277631275794699</v>
      </c>
      <c r="AG9" s="1">
        <f t="shared" si="1"/>
        <v>2.9703431433333338</v>
      </c>
    </row>
    <row r="10" spans="1:33" x14ac:dyDescent="0.25">
      <c r="A10" s="11"/>
      <c r="B10" s="11"/>
      <c r="D10" s="23">
        <v>1.4999999999999999E-2</v>
      </c>
      <c r="E10" s="23">
        <v>2.2430708700000017</v>
      </c>
      <c r="F10" s="96">
        <v>3.3995764019602102E-2</v>
      </c>
      <c r="G10" s="28">
        <v>2.5170489841709998</v>
      </c>
      <c r="H10" s="96">
        <v>2.59022435316483E-2</v>
      </c>
      <c r="I10" s="13">
        <v>1.9210219407909139</v>
      </c>
      <c r="J10" s="68">
        <f t="shared" si="2"/>
        <v>0.58734478304347992</v>
      </c>
      <c r="K10" s="68">
        <f t="shared" si="3"/>
        <v>0.29027189764733841</v>
      </c>
      <c r="L10" s="13">
        <v>1.045659961887913</v>
      </c>
      <c r="M10" s="1">
        <f t="shared" si="0"/>
        <v>2.3470489841709998</v>
      </c>
      <c r="N10" s="65">
        <v>0.24</v>
      </c>
      <c r="O10" s="65">
        <v>3.9483930600000017</v>
      </c>
      <c r="P10" s="96">
        <v>0.30108105579199901</v>
      </c>
      <c r="Q10" s="68">
        <v>4.7329427956575669</v>
      </c>
      <c r="R10" s="100">
        <v>0.15434325672612609</v>
      </c>
      <c r="S10" s="13">
        <v>2.2041934550000009</v>
      </c>
      <c r="T10" s="68">
        <f t="shared" si="4"/>
        <v>2.2926669730434801</v>
      </c>
      <c r="U10" s="68">
        <f t="shared" si="5"/>
        <v>2.5061657091339056</v>
      </c>
      <c r="V10" s="13">
        <v>0.96998655775794718</v>
      </c>
      <c r="X10" s="94">
        <v>0.24</v>
      </c>
      <c r="Y10" s="65">
        <v>3.40157278</v>
      </c>
      <c r="Z10" s="102">
        <v>0.40999217899382401</v>
      </c>
      <c r="AA10" s="68">
        <v>3.3135434099999999</v>
      </c>
      <c r="AB10" s="102">
        <v>0.29089684088884704</v>
      </c>
      <c r="AC10" s="13">
        <v>2.185230686666666</v>
      </c>
      <c r="AD10" s="68">
        <f t="shared" si="6"/>
        <v>1.7458466930434782</v>
      </c>
      <c r="AE10" s="68">
        <f t="shared" ref="AE10:AE13" si="7">AA10-$AA$7</f>
        <v>1.3435434099999999</v>
      </c>
      <c r="AF10" s="13">
        <v>0.9510237894246123</v>
      </c>
      <c r="AG10" s="1">
        <f t="shared" si="1"/>
        <v>3.1435434099999999</v>
      </c>
    </row>
    <row r="11" spans="1:33" x14ac:dyDescent="0.25">
      <c r="A11" s="11"/>
      <c r="B11" s="11"/>
      <c r="D11" s="23">
        <v>0.3</v>
      </c>
      <c r="E11" s="23">
        <v>7.0379638364293298</v>
      </c>
      <c r="F11" s="96">
        <v>0.24876288540031036</v>
      </c>
      <c r="G11" s="28">
        <v>9.4397710763563794</v>
      </c>
      <c r="H11" s="96">
        <v>0.20069171436630445</v>
      </c>
      <c r="I11" s="13">
        <v>5.4812846500000001</v>
      </c>
      <c r="J11" s="68">
        <f t="shared" si="2"/>
        <v>5.3822377494728082</v>
      </c>
      <c r="K11" s="68">
        <f t="shared" si="3"/>
        <v>7.212993989832718</v>
      </c>
      <c r="L11" s="13">
        <v>4.6059226710969989</v>
      </c>
      <c r="M11" s="1">
        <f t="shared" si="0"/>
        <v>9.2697710763563794</v>
      </c>
      <c r="N11" s="65">
        <v>0.3</v>
      </c>
      <c r="O11" s="65">
        <v>4.4891800000000002</v>
      </c>
      <c r="P11" s="96">
        <v>0.49512571412835898</v>
      </c>
      <c r="Q11" s="68">
        <v>5.1344230499999997</v>
      </c>
      <c r="R11" s="100">
        <v>0.27221396006163001</v>
      </c>
      <c r="S11" s="13">
        <v>2.6626787999999975</v>
      </c>
      <c r="T11" s="68">
        <f t="shared" si="4"/>
        <v>2.8334539130434786</v>
      </c>
      <c r="U11" s="68">
        <f t="shared" si="5"/>
        <v>2.9076459634763383</v>
      </c>
      <c r="V11" s="13">
        <v>1.4284719027579438</v>
      </c>
      <c r="X11" s="28">
        <v>0.3</v>
      </c>
      <c r="Z11" s="96">
        <v>0.21079925301208369</v>
      </c>
      <c r="AA11" s="68">
        <v>3.8958018002690151</v>
      </c>
      <c r="AB11" s="96">
        <v>0.28972743889462699</v>
      </c>
      <c r="AC11" s="13">
        <v>2.576592684756934</v>
      </c>
      <c r="AE11" s="68">
        <f t="shared" si="7"/>
        <v>1.9258018002690152</v>
      </c>
      <c r="AF11" s="13">
        <v>1.3423857875148804</v>
      </c>
      <c r="AG11" s="1">
        <f t="shared" si="1"/>
        <v>3.7258018002690152</v>
      </c>
    </row>
    <row r="12" spans="1:33" x14ac:dyDescent="0.25">
      <c r="A12" s="11"/>
      <c r="B12" s="11"/>
      <c r="D12" s="23">
        <v>7.4999999999999997E-2</v>
      </c>
      <c r="E12" s="23">
        <v>2.82</v>
      </c>
      <c r="F12" s="96">
        <v>0.38580946084762974</v>
      </c>
      <c r="G12" s="28">
        <v>3.8195140009828683</v>
      </c>
      <c r="H12" s="96">
        <v>0.33995764019602093</v>
      </c>
      <c r="I12" s="13">
        <v>4.9712870104308973</v>
      </c>
      <c r="J12" s="68">
        <f t="shared" si="2"/>
        <v>1.164273913043478</v>
      </c>
      <c r="K12" s="68">
        <f t="shared" si="3"/>
        <v>1.592736914459207</v>
      </c>
      <c r="L12" s="13">
        <v>4.0959250315278961</v>
      </c>
      <c r="M12" s="1">
        <f t="shared" si="0"/>
        <v>3.6495140009828684</v>
      </c>
      <c r="N12" s="65">
        <v>0.44999999999999996</v>
      </c>
      <c r="O12" s="65">
        <v>6.0325202944999985</v>
      </c>
      <c r="P12" s="96">
        <v>0.39998461160662202</v>
      </c>
      <c r="Q12" s="68">
        <v>7.1949516599999992</v>
      </c>
      <c r="R12" s="100">
        <v>0.22892539614506299</v>
      </c>
      <c r="S12" s="13">
        <v>2.9894658700000005</v>
      </c>
      <c r="T12" s="68">
        <f t="shared" si="4"/>
        <v>4.3767942075434769</v>
      </c>
      <c r="U12" s="68">
        <f t="shared" si="5"/>
        <v>4.9681745734763378</v>
      </c>
      <c r="V12" s="13">
        <v>1.7552589727579468</v>
      </c>
      <c r="X12" s="94">
        <v>0.39</v>
      </c>
      <c r="Y12" s="65">
        <v>3.8462548700000001</v>
      </c>
      <c r="Z12" s="102">
        <v>0.267628714537677</v>
      </c>
      <c r="AA12" s="68">
        <v>4.2727498324999988</v>
      </c>
      <c r="AB12" s="96">
        <v>0.11116488969882538</v>
      </c>
      <c r="AC12" s="13">
        <v>2.7514605779999983</v>
      </c>
      <c r="AD12" s="68">
        <f>Y12-$Y$7</f>
        <v>2.1905287830434785</v>
      </c>
      <c r="AE12" s="68">
        <f t="shared" si="7"/>
        <v>2.3027498324999991</v>
      </c>
      <c r="AF12" s="13">
        <v>1.5172536807579446</v>
      </c>
      <c r="AG12" s="1">
        <f t="shared" si="1"/>
        <v>4.1027498324999989</v>
      </c>
    </row>
    <row r="13" spans="1:33" x14ac:dyDescent="0.25">
      <c r="A13" s="11"/>
      <c r="B13" s="11"/>
      <c r="D13" s="23">
        <v>0.24</v>
      </c>
      <c r="E13" s="23">
        <v>6.1778957249999999</v>
      </c>
      <c r="F13" s="96">
        <v>0.16075172789933001</v>
      </c>
      <c r="G13" s="28">
        <v>7.4599148866666667</v>
      </c>
      <c r="H13" s="96">
        <v>0.24876288540031036</v>
      </c>
      <c r="I13" s="13">
        <v>1.4480562663830678</v>
      </c>
      <c r="J13" s="68">
        <f t="shared" si="2"/>
        <v>4.5221696380434784</v>
      </c>
      <c r="K13" s="68">
        <f>G13-$G$7</f>
        <v>5.2331378001430053</v>
      </c>
      <c r="L13" s="13">
        <v>0.5726942874800669</v>
      </c>
      <c r="M13" s="1">
        <f t="shared" si="0"/>
        <v>7.2899148866666668</v>
      </c>
      <c r="N13" s="65">
        <v>0.375</v>
      </c>
      <c r="O13" s="65">
        <v>5.7348228000000008</v>
      </c>
      <c r="P13" s="96">
        <v>0.242554148371837</v>
      </c>
      <c r="Q13" s="68">
        <v>6.4971949295</v>
      </c>
      <c r="R13" s="100">
        <v>3.3674206122084514E-2</v>
      </c>
      <c r="S13" s="13">
        <v>3.9402145889999987</v>
      </c>
      <c r="T13" s="68">
        <f t="shared" si="4"/>
        <v>4.0790967130434792</v>
      </c>
      <c r="U13" s="68">
        <f t="shared" si="5"/>
        <v>4.2704178429763386</v>
      </c>
      <c r="V13" s="13">
        <v>2.7060076917579448</v>
      </c>
      <c r="X13" s="120">
        <v>0.54</v>
      </c>
      <c r="Y13" s="78">
        <v>4.8454418523333302</v>
      </c>
      <c r="Z13" s="14"/>
      <c r="AA13" s="121">
        <v>5.4009681500000006</v>
      </c>
      <c r="AB13" s="14"/>
      <c r="AC13" s="15"/>
      <c r="AD13" s="68">
        <f>Y13-$Y$7</f>
        <v>3.1897157653768087</v>
      </c>
      <c r="AE13" s="82">
        <f t="shared" si="7"/>
        <v>3.4309681500000009</v>
      </c>
      <c r="AF13" s="15"/>
    </row>
    <row r="14" spans="1:33" x14ac:dyDescent="0.25">
      <c r="A14" s="11"/>
      <c r="B14" s="11"/>
      <c r="D14" s="65"/>
      <c r="E14" s="94"/>
      <c r="F14" s="96"/>
      <c r="G14" s="28"/>
      <c r="H14" s="96"/>
      <c r="I14" s="13"/>
      <c r="J14" s="68"/>
      <c r="K14" s="68"/>
      <c r="L14" s="13"/>
      <c r="M14" s="1">
        <f t="shared" si="0"/>
        <v>-0.17</v>
      </c>
      <c r="N14" s="65"/>
      <c r="O14" s="65"/>
      <c r="P14" s="96"/>
      <c r="Q14" s="68"/>
      <c r="R14" s="100"/>
      <c r="S14" s="13"/>
      <c r="T14" s="68"/>
      <c r="U14" s="68"/>
      <c r="V14" s="13"/>
    </row>
    <row r="15" spans="1:33" x14ac:dyDescent="0.25">
      <c r="A15" s="11"/>
      <c r="B15" s="11"/>
      <c r="D15" s="56"/>
      <c r="E15" s="56"/>
      <c r="F15" s="12"/>
      <c r="G15" s="12"/>
      <c r="I15" s="13"/>
      <c r="J15" s="12"/>
      <c r="K15" s="12"/>
      <c r="L15" s="13"/>
      <c r="N15" s="78"/>
      <c r="O15" s="78"/>
      <c r="P15" s="98"/>
      <c r="Q15" s="82"/>
      <c r="R15" s="101"/>
      <c r="S15" s="15"/>
      <c r="T15" s="82"/>
      <c r="U15" s="82"/>
      <c r="V15" s="15"/>
      <c r="AE15" s="1">
        <f>45/0.0153</f>
        <v>2941.1764705882356</v>
      </c>
    </row>
    <row r="16" spans="1:33" x14ac:dyDescent="0.25">
      <c r="A16" s="11"/>
      <c r="B16" s="11"/>
      <c r="D16" s="18"/>
      <c r="E16" s="18"/>
      <c r="F16" s="14"/>
      <c r="G16" s="14"/>
      <c r="I16" s="15"/>
      <c r="J16" s="18"/>
      <c r="K16" s="14"/>
      <c r="L16" s="15"/>
    </row>
    <row r="17" spans="2:27" ht="15.75" x14ac:dyDescent="0.25">
      <c r="Z17"/>
      <c r="AA17"/>
    </row>
    <row r="18" spans="2:27" ht="15.75" x14ac:dyDescent="0.25">
      <c r="Z18"/>
      <c r="AA18"/>
    </row>
    <row r="19" spans="2:27" ht="15.75" x14ac:dyDescent="0.25">
      <c r="Z19"/>
      <c r="AA19"/>
    </row>
    <row r="20" spans="2:27" ht="15.75" x14ac:dyDescent="0.25">
      <c r="Z20"/>
      <c r="AA20"/>
    </row>
    <row r="21" spans="2:27" ht="15.75" x14ac:dyDescent="0.25">
      <c r="N21" s="1">
        <f>22.599/10.716</f>
        <v>2.1089025755879063</v>
      </c>
      <c r="Z21"/>
      <c r="AA21"/>
    </row>
    <row r="22" spans="2:27" ht="15.75" x14ac:dyDescent="0.25">
      <c r="N22" s="1">
        <f>22.599/6.0131</f>
        <v>3.7582943905805659</v>
      </c>
      <c r="Z22" s="65"/>
      <c r="AA22"/>
    </row>
    <row r="23" spans="2:27" ht="15.75" x14ac:dyDescent="0.25">
      <c r="Z23" s="65"/>
      <c r="AA23"/>
    </row>
    <row r="25" spans="2:27" x14ac:dyDescent="0.25">
      <c r="N25" s="1">
        <f>22.599*0.09+2.1123</f>
        <v>4.14621</v>
      </c>
    </row>
    <row r="26" spans="2:27" x14ac:dyDescent="0.25">
      <c r="N26" s="1">
        <f>N25-G7</f>
        <v>1.9194329134763386</v>
      </c>
    </row>
    <row r="32" spans="2:27" x14ac:dyDescent="0.25">
      <c r="B32" s="24"/>
    </row>
    <row r="37" spans="5:17" x14ac:dyDescent="0.25">
      <c r="E37" s="1" t="s">
        <v>128</v>
      </c>
      <c r="F37" s="1" t="s">
        <v>127</v>
      </c>
      <c r="G37" s="1">
        <v>1</v>
      </c>
      <c r="H37" s="1">
        <v>2</v>
      </c>
      <c r="I37" s="1">
        <v>3</v>
      </c>
      <c r="J37" s="1" t="s">
        <v>129</v>
      </c>
      <c r="K37" s="1" t="s">
        <v>130</v>
      </c>
    </row>
    <row r="38" spans="5:17" x14ac:dyDescent="0.25">
      <c r="F38" s="1">
        <v>0</v>
      </c>
      <c r="G38" s="1">
        <v>2.1643478260869564</v>
      </c>
      <c r="H38" s="1">
        <v>2.220831943799972</v>
      </c>
      <c r="I38" s="1">
        <v>2.2951514896840557</v>
      </c>
      <c r="J38" s="1">
        <f>AVERAGE(G38:I38)</f>
        <v>2.2267770865236614</v>
      </c>
      <c r="K38" s="1">
        <f>_xlfn.STDEV.S(G38:I38)</f>
        <v>6.5604177794631013E-2</v>
      </c>
    </row>
    <row r="39" spans="5:17" x14ac:dyDescent="0.25">
      <c r="F39" s="1">
        <v>0.22499999999999998</v>
      </c>
      <c r="G39" s="1">
        <v>6.8480604476961009</v>
      </c>
      <c r="H39" s="1">
        <v>6.3762158099999997</v>
      </c>
      <c r="I39" s="1">
        <v>6.434800077843688</v>
      </c>
      <c r="J39" s="1">
        <f t="shared" ref="J39:J44" si="8">AVERAGE(G39:I39)</f>
        <v>6.5530254451799292</v>
      </c>
      <c r="K39" s="1">
        <f t="shared" ref="K39:K44" si="9">_xlfn.STDEV.S(G39:I39)</f>
        <v>0.25718139248783761</v>
      </c>
    </row>
    <row r="40" spans="5:17" x14ac:dyDescent="0.25">
      <c r="F40" s="1">
        <v>0.15</v>
      </c>
      <c r="G40" s="1">
        <v>5.4348000778436916</v>
      </c>
      <c r="H40" s="1">
        <v>5.5757418032134698</v>
      </c>
      <c r="I40" s="1">
        <v>5.4363556499999977</v>
      </c>
      <c r="J40" s="1">
        <f t="shared" si="8"/>
        <v>5.4822991770190539</v>
      </c>
      <c r="K40" s="1">
        <f t="shared" si="9"/>
        <v>8.0927425782397755E-2</v>
      </c>
    </row>
    <row r="41" spans="5:17" x14ac:dyDescent="0.25">
      <c r="F41" s="1">
        <v>1.4999999999999999E-2</v>
      </c>
      <c r="G41" s="1">
        <v>2.6624453513534991</v>
      </c>
      <c r="H41" s="1">
        <v>2.5351353566244001</v>
      </c>
      <c r="I41" s="1">
        <v>2.3535662445351</v>
      </c>
      <c r="J41" s="1">
        <f t="shared" si="8"/>
        <v>2.5170489841709998</v>
      </c>
      <c r="K41" s="1">
        <f t="shared" si="9"/>
        <v>0.15523180508074158</v>
      </c>
    </row>
    <row r="42" spans="5:17" x14ac:dyDescent="0.25">
      <c r="F42" s="1">
        <v>0.3</v>
      </c>
      <c r="G42" s="1">
        <v>9.42023408271276</v>
      </c>
      <c r="H42" s="1">
        <v>9.4593080700000005</v>
      </c>
      <c r="J42" s="1">
        <f t="shared" si="8"/>
        <v>9.4397710763563794</v>
      </c>
      <c r="K42" s="1">
        <f t="shared" si="9"/>
        <v>2.7629481378804735E-2</v>
      </c>
    </row>
    <row r="43" spans="5:17" x14ac:dyDescent="0.25">
      <c r="F43" s="1">
        <v>7.4999999999999997E-2</v>
      </c>
      <c r="G43" s="1">
        <v>3.9631394352400364</v>
      </c>
      <c r="H43" s="1">
        <v>3.6758885667257002</v>
      </c>
      <c r="J43" s="1">
        <f t="shared" si="8"/>
        <v>3.8195140009828683</v>
      </c>
      <c r="K43" s="1">
        <f t="shared" si="9"/>
        <v>0.20311703702821249</v>
      </c>
    </row>
    <row r="44" spans="5:17" x14ac:dyDescent="0.25">
      <c r="F44" s="1">
        <v>0.24</v>
      </c>
      <c r="G44" s="1">
        <v>7.2818572499999981</v>
      </c>
      <c r="H44" s="1">
        <v>7.8160301600000039</v>
      </c>
      <c r="I44" s="1">
        <v>7.2818572499999981</v>
      </c>
      <c r="J44" s="1">
        <f t="shared" si="8"/>
        <v>7.4599148866666667</v>
      </c>
      <c r="K44" s="1">
        <f t="shared" si="9"/>
        <v>0.3084048733823091</v>
      </c>
    </row>
    <row r="45" spans="5:17" x14ac:dyDescent="0.25">
      <c r="F45" s="1" t="s">
        <v>131</v>
      </c>
      <c r="Q45" s="1">
        <f>21.32/11.99</f>
        <v>1.7781484570475397</v>
      </c>
    </row>
    <row r="46" spans="5:17" x14ac:dyDescent="0.25">
      <c r="G46" s="1">
        <v>1</v>
      </c>
      <c r="H46" s="1">
        <v>2</v>
      </c>
      <c r="I46" s="1">
        <v>3</v>
      </c>
      <c r="J46" s="1" t="s">
        <v>129</v>
      </c>
      <c r="K46" s="1" t="s">
        <v>130</v>
      </c>
      <c r="Q46" s="1">
        <f>21.328/5.2861</f>
        <v>4.0347326005940101</v>
      </c>
    </row>
    <row r="47" spans="5:17" x14ac:dyDescent="0.25">
      <c r="F47" s="1">
        <v>0</v>
      </c>
      <c r="G47" s="1">
        <v>2.1643478260869564</v>
      </c>
      <c r="H47" s="1">
        <v>2.220831943799972</v>
      </c>
      <c r="I47" s="1">
        <v>2.2951514896840557</v>
      </c>
      <c r="J47" s="1">
        <f>AVERAGE(G47:I47)</f>
        <v>2.2267770865236614</v>
      </c>
      <c r="K47" s="1">
        <f>_xlfn.STDEV.S(G47:I47)</f>
        <v>6.5604177794631013E-2</v>
      </c>
    </row>
    <row r="48" spans="5:17" x14ac:dyDescent="0.25">
      <c r="F48" s="1">
        <v>4.4999999999999998E-2</v>
      </c>
      <c r="G48" s="1">
        <v>2.7302075349234012</v>
      </c>
      <c r="H48" s="1">
        <v>2.9667178892325383</v>
      </c>
      <c r="I48" s="1">
        <v>2.9606354763886986</v>
      </c>
      <c r="J48" s="1">
        <f t="shared" ref="J48:J53" si="10">AVERAGE(G48:I48)</f>
        <v>2.8858536335148792</v>
      </c>
      <c r="K48" s="1">
        <f t="shared" ref="K48:K53" si="11">_xlfn.STDEV.S(G48:I48)</f>
        <v>0.13482777882010011</v>
      </c>
    </row>
    <row r="49" spans="6:11" x14ac:dyDescent="0.25">
      <c r="F49" s="1">
        <v>0.15</v>
      </c>
      <c r="G49" s="1">
        <v>4.0002382110000028</v>
      </c>
      <c r="H49" s="1">
        <v>4.0871252200000008</v>
      </c>
      <c r="J49" s="1">
        <f t="shared" si="10"/>
        <v>4.0436817155000018</v>
      </c>
      <c r="K49" s="1">
        <f t="shared" si="11"/>
        <v>6.1438393260915179E-2</v>
      </c>
    </row>
    <row r="50" spans="6:11" x14ac:dyDescent="0.25">
      <c r="F50" s="1">
        <v>0.24</v>
      </c>
      <c r="G50" s="1">
        <v>4.6566083469727007</v>
      </c>
      <c r="H50" s="1">
        <v>4.9105791200000004</v>
      </c>
      <c r="I50" s="1">
        <v>4.6316409200000006</v>
      </c>
      <c r="J50" s="1">
        <f t="shared" si="10"/>
        <v>4.7329427956575669</v>
      </c>
      <c r="K50" s="1">
        <f t="shared" si="11"/>
        <v>0.15434325672612609</v>
      </c>
    </row>
    <row r="51" spans="6:11" x14ac:dyDescent="0.25">
      <c r="F51" s="1">
        <v>0.3</v>
      </c>
      <c r="G51" s="1">
        <v>5.1399835500000002</v>
      </c>
      <c r="H51" s="1">
        <v>5.1395107700000002</v>
      </c>
      <c r="I51" s="1">
        <v>5.1237748299999986</v>
      </c>
      <c r="J51" s="1">
        <f t="shared" si="10"/>
        <v>5.1344230499999997</v>
      </c>
      <c r="K51" s="1">
        <f t="shared" si="11"/>
        <v>9.2246583735343547E-3</v>
      </c>
    </row>
    <row r="52" spans="6:11" x14ac:dyDescent="0.25">
      <c r="F52" s="1">
        <v>0.44999999999999996</v>
      </c>
      <c r="G52" s="1">
        <v>7.1560204999999986</v>
      </c>
      <c r="H52" s="1">
        <v>7.2338828199999989</v>
      </c>
      <c r="J52" s="1">
        <f t="shared" si="10"/>
        <v>7.1949516599999992</v>
      </c>
      <c r="K52" s="1">
        <f t="shared" si="11"/>
        <v>5.505697447091721E-2</v>
      </c>
    </row>
    <row r="53" spans="6:11" x14ac:dyDescent="0.25">
      <c r="F53" s="1">
        <v>0.375</v>
      </c>
      <c r="G53" s="1">
        <v>6.4733836700000005</v>
      </c>
      <c r="H53" s="1">
        <v>6.5210061889999995</v>
      </c>
      <c r="J53" s="1">
        <f t="shared" si="10"/>
        <v>6.4971949295</v>
      </c>
      <c r="K53" s="1">
        <f t="shared" si="11"/>
        <v>3.3674206122084514E-2</v>
      </c>
    </row>
    <row r="65" spans="5:20" x14ac:dyDescent="0.25">
      <c r="O65" s="1" t="s">
        <v>133</v>
      </c>
    </row>
    <row r="66" spans="5:20" ht="15.75" x14ac:dyDescent="0.25">
      <c r="F66" s="1" t="s">
        <v>56</v>
      </c>
      <c r="M66"/>
      <c r="N66"/>
      <c r="O66" s="1" t="s">
        <v>134</v>
      </c>
      <c r="Q66" s="1" t="s">
        <v>132</v>
      </c>
      <c r="S66" s="1" t="s">
        <v>27</v>
      </c>
    </row>
    <row r="67" spans="5:20" ht="15.75" x14ac:dyDescent="0.25">
      <c r="F67" s="1" t="s">
        <v>57</v>
      </c>
      <c r="G67" s="1">
        <v>6</v>
      </c>
      <c r="M67"/>
      <c r="N67"/>
      <c r="O67" s="1">
        <v>0</v>
      </c>
      <c r="P67" s="1">
        <v>1.9782633913043481</v>
      </c>
      <c r="Q67" s="1">
        <v>0</v>
      </c>
      <c r="R67" s="1">
        <v>1.9782633913043481</v>
      </c>
      <c r="S67" s="1">
        <v>0</v>
      </c>
      <c r="T67" s="1">
        <v>1.9782633913043481</v>
      </c>
    </row>
    <row r="68" spans="5:20" ht="16.5" x14ac:dyDescent="0.3">
      <c r="F68" s="1" t="s">
        <v>58</v>
      </c>
      <c r="G68" s="1">
        <v>3.14</v>
      </c>
      <c r="M68"/>
      <c r="N68"/>
      <c r="O68" s="1">
        <v>0.22499999999999998</v>
      </c>
      <c r="P68" s="1">
        <v>6.8852955844084898</v>
      </c>
      <c r="Q68" s="1">
        <v>4.4999999999999998E-2</v>
      </c>
      <c r="R68" s="1">
        <v>2.8858536335148792</v>
      </c>
      <c r="S68" s="1">
        <v>7.4999999999999997E-2</v>
      </c>
      <c r="T68" s="1">
        <v>2.606716454999999</v>
      </c>
    </row>
    <row r="69" spans="5:20" ht="15.75" x14ac:dyDescent="0.25">
      <c r="F69" s="1" t="s">
        <v>59</v>
      </c>
      <c r="H69" s="1">
        <f>3.14*G78</f>
        <v>1.2460293468140695E-2</v>
      </c>
      <c r="I69" s="1" t="s">
        <v>76</v>
      </c>
      <c r="M69"/>
      <c r="N69"/>
      <c r="O69" s="1">
        <v>0.15</v>
      </c>
      <c r="P69" s="1">
        <v>5.4392078153614918</v>
      </c>
      <c r="Q69" s="1">
        <v>0.15</v>
      </c>
      <c r="R69" s="1">
        <v>4.0436817155</v>
      </c>
      <c r="S69" s="1">
        <v>0.15</v>
      </c>
      <c r="T69" s="1">
        <v>3.1403431433333338</v>
      </c>
    </row>
    <row r="70" spans="5:20" ht="15.75" x14ac:dyDescent="0.25">
      <c r="F70" s="122" t="s">
        <v>61</v>
      </c>
      <c r="G70" s="123" t="s">
        <v>2</v>
      </c>
      <c r="H70" s="124">
        <f>1000*H69/0.0153</f>
        <v>814.39826589154882</v>
      </c>
      <c r="I70" s="124" t="s">
        <v>77</v>
      </c>
      <c r="J70" s="124"/>
      <c r="M70"/>
      <c r="N70" t="s">
        <v>78</v>
      </c>
      <c r="O70" s="1">
        <v>1.4999999999999999E-2</v>
      </c>
      <c r="P70" s="1">
        <v>2.6624453513534991</v>
      </c>
      <c r="Q70" s="1">
        <v>0.24</v>
      </c>
      <c r="R70" s="1">
        <v>4.7329427956575669</v>
      </c>
      <c r="S70" s="1">
        <v>0.24</v>
      </c>
      <c r="T70" s="1">
        <v>3.3135434099999999</v>
      </c>
    </row>
    <row r="71" spans="5:20" ht="15.75" x14ac:dyDescent="0.25">
      <c r="E71" s="1" t="s">
        <v>63</v>
      </c>
      <c r="F71" s="55">
        <f>(G71-2.1123)/22.599</f>
        <v>1.4737437655039605E-2</v>
      </c>
      <c r="G71" s="17">
        <v>2.4453513535662399</v>
      </c>
      <c r="M71"/>
      <c r="N71"/>
      <c r="O71" s="1">
        <v>0.3</v>
      </c>
      <c r="P71" s="1">
        <v>7.7275340827127605</v>
      </c>
      <c r="Q71" s="1">
        <v>0.3</v>
      </c>
      <c r="R71" s="1">
        <v>5.1344230499999997</v>
      </c>
      <c r="S71" s="1">
        <v>0.3</v>
      </c>
      <c r="T71" s="1">
        <v>3.8958018002690151</v>
      </c>
    </row>
    <row r="72" spans="5:20" ht="15.75" x14ac:dyDescent="0.25">
      <c r="E72" s="1" t="s">
        <v>64</v>
      </c>
      <c r="F72" s="55">
        <f t="shared" ref="F72:F77" si="12">(G72-2.1123)/22.599</f>
        <v>1.6204199964600218E-2</v>
      </c>
      <c r="G72" s="13">
        <v>2.4784987150000002</v>
      </c>
      <c r="M72"/>
      <c r="N72"/>
      <c r="O72" s="1">
        <v>7.4999999999999997E-2</v>
      </c>
      <c r="P72" s="1">
        <v>3.8758885667257101</v>
      </c>
      <c r="Q72" s="1">
        <v>0.44999999999999996</v>
      </c>
      <c r="R72" s="1">
        <v>7.1949516599999992</v>
      </c>
      <c r="S72" s="1">
        <v>0.39</v>
      </c>
      <c r="T72" s="1">
        <v>4.2727498324999988</v>
      </c>
    </row>
    <row r="73" spans="5:20" ht="15.75" x14ac:dyDescent="0.25">
      <c r="E73" s="1" t="s">
        <v>65</v>
      </c>
      <c r="F73" s="55">
        <f t="shared" si="12"/>
        <v>2.2450235585645382E-2</v>
      </c>
      <c r="G73" s="13">
        <v>2.6196528739999998</v>
      </c>
      <c r="M73"/>
      <c r="N73"/>
      <c r="O73" s="1">
        <v>0.24</v>
      </c>
      <c r="P73" s="1">
        <v>7.1160301600000002</v>
      </c>
      <c r="Q73" s="1">
        <v>0.375</v>
      </c>
      <c r="R73" s="1">
        <v>6.4971949295</v>
      </c>
      <c r="S73" s="1">
        <v>0.54</v>
      </c>
      <c r="T73" s="1">
        <v>5.4009681500000006</v>
      </c>
    </row>
    <row r="74" spans="5:20" ht="15.75" x14ac:dyDescent="0.25">
      <c r="E74" s="1" t="s">
        <v>66</v>
      </c>
      <c r="F74" s="55">
        <f t="shared" si="12"/>
        <v>1.36985486083455E-2</v>
      </c>
      <c r="G74" s="13">
        <v>2.4218734999999998</v>
      </c>
      <c r="H74" s="1">
        <f>AVERAGE(G71:G77)</f>
        <v>2.4830514192237487</v>
      </c>
      <c r="I74" s="1">
        <f>H74/1.978263</f>
        <v>1.2551674975590954</v>
      </c>
      <c r="M74"/>
      <c r="N74"/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</row>
    <row r="75" spans="5:20" ht="15.75" x14ac:dyDescent="0.25">
      <c r="E75" s="1" t="s">
        <v>67</v>
      </c>
      <c r="F75" s="55">
        <f t="shared" si="12"/>
        <v>1.9455586530377451E-2</v>
      </c>
      <c r="G75" s="13">
        <v>2.5519767999999998</v>
      </c>
      <c r="M75"/>
      <c r="N75"/>
      <c r="O75" s="1">
        <v>0.22499999999999998</v>
      </c>
      <c r="P75" s="1">
        <v>4.9070321931041416</v>
      </c>
      <c r="Q75" s="1">
        <v>4.4999999999999998E-2</v>
      </c>
      <c r="R75" s="1">
        <v>0.90759024221053108</v>
      </c>
      <c r="S75" s="1">
        <v>7.4999999999999997E-2</v>
      </c>
      <c r="T75" s="1">
        <v>0.6284530636956509</v>
      </c>
    </row>
    <row r="76" spans="5:20" ht="15.75" x14ac:dyDescent="0.25">
      <c r="E76" s="1" t="s">
        <v>68</v>
      </c>
      <c r="F76" s="55">
        <f t="shared" si="12"/>
        <v>1.7907506526837473E-2</v>
      </c>
      <c r="G76" s="13">
        <v>2.5169917399999999</v>
      </c>
      <c r="M76"/>
      <c r="N76"/>
      <c r="O76" s="1">
        <v>0.15</v>
      </c>
      <c r="P76" s="1">
        <v>3.4609444240571436</v>
      </c>
      <c r="Q76" s="1">
        <v>0.15</v>
      </c>
      <c r="R76" s="1">
        <v>2.0654183241956519</v>
      </c>
      <c r="S76" s="1">
        <v>0.15</v>
      </c>
      <c r="T76" s="1">
        <v>1.1620797520289856</v>
      </c>
    </row>
    <row r="77" spans="5:20" ht="15.75" x14ac:dyDescent="0.25">
      <c r="E77" s="1" t="s">
        <v>69</v>
      </c>
      <c r="F77" s="55">
        <f t="shared" si="12"/>
        <v>1.0386076906057792E-2</v>
      </c>
      <c r="G77" s="15">
        <v>2.3470149519999999</v>
      </c>
      <c r="M77"/>
      <c r="N77">
        <f>1000*0.015/0.0153</f>
        <v>980.39215686274508</v>
      </c>
      <c r="O77" s="1">
        <v>1.4999999999999999E-2</v>
      </c>
      <c r="P77" s="1">
        <v>0.68418196004915099</v>
      </c>
      <c r="Q77" s="1">
        <v>0.24</v>
      </c>
      <c r="R77" s="1">
        <v>2.7546794043532188</v>
      </c>
      <c r="S77" s="1">
        <v>0.24</v>
      </c>
      <c r="T77" s="1">
        <v>1.3352800186956517</v>
      </c>
    </row>
    <row r="78" spans="5:20" ht="15.75" x14ac:dyDescent="0.25">
      <c r="F78" s="1" t="s">
        <v>70</v>
      </c>
      <c r="G78" s="1">
        <f>_xlfn.STDEV.S(F71:F77)</f>
        <v>3.9682463274333425E-3</v>
      </c>
      <c r="H78" s="1" t="s">
        <v>59</v>
      </c>
      <c r="J78" s="1">
        <f>3.14*G87</f>
        <v>1.8702655618295965E-2</v>
      </c>
      <c r="M78"/>
      <c r="N78"/>
      <c r="O78" s="1">
        <v>0.3</v>
      </c>
      <c r="P78" s="1">
        <v>5.7492706914084124</v>
      </c>
      <c r="Q78" s="1">
        <v>0.3</v>
      </c>
      <c r="R78" s="1">
        <v>3.1561596586956515</v>
      </c>
      <c r="S78" s="1">
        <v>0.3</v>
      </c>
      <c r="T78" s="1">
        <v>1.917538408964667</v>
      </c>
    </row>
    <row r="79" spans="5:20" ht="15.75" x14ac:dyDescent="0.25">
      <c r="F79" s="122" t="s">
        <v>71</v>
      </c>
      <c r="G79" s="123" t="s">
        <v>2</v>
      </c>
      <c r="H79" s="124" t="s">
        <v>71</v>
      </c>
      <c r="I79" s="124"/>
      <c r="J79" s="124">
        <f>1000*J78/0.0153</f>
        <v>1222.395792045488</v>
      </c>
      <c r="K79" s="124" t="s">
        <v>79</v>
      </c>
      <c r="L79" s="124"/>
      <c r="M79"/>
      <c r="N79"/>
      <c r="O79" s="1">
        <v>7.4999999999999997E-2</v>
      </c>
      <c r="P79" s="1">
        <v>1.897625175421362</v>
      </c>
      <c r="Q79" s="1">
        <v>0.44999999999999996</v>
      </c>
      <c r="R79" s="1">
        <v>5.2166882686956511</v>
      </c>
      <c r="S79" s="1">
        <v>0.39</v>
      </c>
      <c r="T79" s="1">
        <v>2.2944864411956507</v>
      </c>
    </row>
    <row r="80" spans="5:20" ht="15.75" x14ac:dyDescent="0.25">
      <c r="E80" s="1" t="s">
        <v>63</v>
      </c>
      <c r="F80" s="55">
        <f>(G80-2.2856)/10.716</f>
        <v>3.7351029629981325E-2</v>
      </c>
      <c r="G80" s="17">
        <v>2.6858536335148799</v>
      </c>
      <c r="M80"/>
      <c r="N80"/>
      <c r="O80" s="1">
        <v>0.24</v>
      </c>
      <c r="P80" s="1">
        <v>5.1377667686956521</v>
      </c>
      <c r="Q80" s="1">
        <v>0.375</v>
      </c>
      <c r="R80" s="1">
        <v>4.5189315381956519</v>
      </c>
      <c r="S80" s="1">
        <v>0.54</v>
      </c>
      <c r="T80" s="1">
        <v>3.4227047586956525</v>
      </c>
    </row>
    <row r="81" spans="5:21" ht="15.75" x14ac:dyDescent="0.25">
      <c r="E81" s="1" t="s">
        <v>64</v>
      </c>
      <c r="F81" s="55">
        <f t="shared" ref="F81:F86" si="13">(G81-2.2856)/10.716</f>
        <v>2.139778835386336E-2</v>
      </c>
      <c r="G81" s="13">
        <v>2.5148986999999998</v>
      </c>
      <c r="M81"/>
      <c r="N81"/>
      <c r="O81" s="1" t="s">
        <v>135</v>
      </c>
    </row>
    <row r="82" spans="5:21" ht="15.75" x14ac:dyDescent="0.25">
      <c r="E82" s="1" t="s">
        <v>65</v>
      </c>
      <c r="F82" s="55">
        <f t="shared" si="13"/>
        <v>3.3800260115714804E-2</v>
      </c>
      <c r="G82" s="13">
        <v>2.6478035873999999</v>
      </c>
      <c r="M82"/>
      <c r="N82"/>
      <c r="P82" s="1" t="s">
        <v>134</v>
      </c>
      <c r="Q82" s="1" t="s">
        <v>132</v>
      </c>
      <c r="R82" s="1" t="s">
        <v>27</v>
      </c>
    </row>
    <row r="83" spans="5:21" ht="15.75" x14ac:dyDescent="0.25">
      <c r="E83" s="1" t="s">
        <v>66</v>
      </c>
      <c r="F83" s="55">
        <f t="shared" si="13"/>
        <v>3.082076132978722E-2</v>
      </c>
      <c r="G83" s="13">
        <v>2.6158752784099999</v>
      </c>
      <c r="H83" s="1">
        <f>AVERAGE(G80:G86)</f>
        <v>2.621424300046411</v>
      </c>
      <c r="I83" s="1">
        <f>H83/1.978263</f>
        <v>1.3251141531972295</v>
      </c>
      <c r="M83"/>
      <c r="N83"/>
      <c r="O83" s="1">
        <v>0</v>
      </c>
      <c r="P83" s="1">
        <v>1.1609999999999998</v>
      </c>
      <c r="Q83" s="1">
        <v>1.1609999999999998</v>
      </c>
      <c r="R83" s="1">
        <v>1.1609999999999998</v>
      </c>
      <c r="S83" s="1">
        <v>0</v>
      </c>
      <c r="T83" s="1">
        <v>0</v>
      </c>
      <c r="U83" s="1">
        <v>0</v>
      </c>
    </row>
    <row r="84" spans="5:21" ht="15.75" x14ac:dyDescent="0.25">
      <c r="E84" s="1" t="s">
        <v>67</v>
      </c>
      <c r="F84" s="55">
        <f t="shared" si="13"/>
        <v>2.8129518570362073E-2</v>
      </c>
      <c r="G84" s="13">
        <v>2.587035921</v>
      </c>
      <c r="M84"/>
      <c r="N84"/>
      <c r="O84" s="1">
        <v>0.03</v>
      </c>
      <c r="P84" s="1">
        <v>1.9784078599999979</v>
      </c>
      <c r="Q84" s="1">
        <v>1.6181326099999993</v>
      </c>
      <c r="R84" s="1">
        <v>1.4612578000000003</v>
      </c>
      <c r="S84" s="1">
        <v>0.8174078599999981</v>
      </c>
      <c r="T84" s="1">
        <v>0.4571326099999995</v>
      </c>
      <c r="U84" s="1">
        <v>0.30025780000000046</v>
      </c>
    </row>
    <row r="85" spans="5:21" ht="15.75" x14ac:dyDescent="0.25">
      <c r="E85" s="1" t="s">
        <v>68</v>
      </c>
      <c r="F85" s="55">
        <f t="shared" si="13"/>
        <v>2.90476101157148E-2</v>
      </c>
      <c r="G85" s="13">
        <v>2.5968741899999999</v>
      </c>
      <c r="M85"/>
      <c r="N85"/>
      <c r="O85" s="1">
        <v>0.09</v>
      </c>
      <c r="P85" s="1">
        <v>4.0050959699999993</v>
      </c>
      <c r="Q85" s="1">
        <v>2.8841463299999988</v>
      </c>
      <c r="R85" s="1">
        <v>2.0619293099999996</v>
      </c>
      <c r="S85" s="1">
        <v>2.8440959699999997</v>
      </c>
      <c r="T85" s="1">
        <v>1.7231463299999989</v>
      </c>
      <c r="U85" s="1">
        <v>0.90092930999999976</v>
      </c>
    </row>
    <row r="86" spans="5:21" ht="15.75" x14ac:dyDescent="0.25">
      <c r="E86" s="1" t="s">
        <v>69</v>
      </c>
      <c r="F86" s="55">
        <f t="shared" si="13"/>
        <v>3.882314203060843E-2</v>
      </c>
      <c r="G86" s="15">
        <v>2.70162879</v>
      </c>
      <c r="M86"/>
      <c r="N86"/>
      <c r="O86" s="1">
        <v>0.15</v>
      </c>
      <c r="P86" s="1">
        <v>5.8038666250000013</v>
      </c>
      <c r="Q86" s="1">
        <v>3.9526646200000011</v>
      </c>
      <c r="R86" s="1">
        <v>2.3531293099999986</v>
      </c>
      <c r="S86" s="1">
        <v>4.6428666250000017</v>
      </c>
      <c r="T86" s="1">
        <v>2.7916646200000015</v>
      </c>
      <c r="U86" s="1">
        <v>1.1921293099999988</v>
      </c>
    </row>
    <row r="87" spans="5:21" ht="15.75" x14ac:dyDescent="0.25">
      <c r="F87" s="1" t="s">
        <v>70</v>
      </c>
      <c r="G87" s="1">
        <f>_xlfn.STDEV.S(F80:F86)</f>
        <v>5.9562597510496697E-3</v>
      </c>
      <c r="H87" s="1" t="s">
        <v>59</v>
      </c>
      <c r="J87" s="1">
        <f>3.14*G96</f>
        <v>3.0935328619008027E-2</v>
      </c>
      <c r="M87"/>
      <c r="N87"/>
      <c r="O87" s="1">
        <v>0.24</v>
      </c>
      <c r="P87" s="1">
        <v>8.589328075000001</v>
      </c>
      <c r="Q87" s="1">
        <v>5.54296057</v>
      </c>
      <c r="R87" s="1">
        <v>2.8708029100000005</v>
      </c>
      <c r="S87" s="1">
        <v>7.4283280750000014</v>
      </c>
      <c r="T87" s="1">
        <v>4.3819605700000004</v>
      </c>
      <c r="U87" s="1">
        <v>1.7098029100000007</v>
      </c>
    </row>
    <row r="88" spans="5:21" ht="15.75" x14ac:dyDescent="0.25">
      <c r="F88" s="122" t="s">
        <v>27</v>
      </c>
      <c r="G88" s="123" t="s">
        <v>2</v>
      </c>
      <c r="H88" s="124" t="s">
        <v>72</v>
      </c>
      <c r="I88" s="124"/>
      <c r="J88" s="124">
        <f>1000*J87/0.0153</f>
        <v>2021.9169032031391</v>
      </c>
      <c r="K88" s="124" t="s">
        <v>77</v>
      </c>
      <c r="L88" s="124"/>
      <c r="M88"/>
      <c r="N88"/>
      <c r="O88" s="1">
        <v>0.39</v>
      </c>
      <c r="Q88" s="1">
        <v>7.6807333599999978</v>
      </c>
      <c r="R88" s="1">
        <v>4.9206773849999994</v>
      </c>
      <c r="T88" s="1">
        <v>6.5197333599999983</v>
      </c>
      <c r="U88" s="1">
        <v>3.7596773849999998</v>
      </c>
    </row>
    <row r="89" spans="5:21" ht="15.75" x14ac:dyDescent="0.25">
      <c r="E89" s="1" t="s">
        <v>63</v>
      </c>
      <c r="F89" s="55">
        <f>(G89-2.0583)/6.0131</f>
        <v>9.1203614608105485E-2</v>
      </c>
      <c r="G89" s="17">
        <v>2.606716454999999</v>
      </c>
      <c r="M89"/>
      <c r="N89"/>
      <c r="O89" s="1" t="s">
        <v>136</v>
      </c>
      <c r="P89" s="1" t="s">
        <v>134</v>
      </c>
      <c r="Q89" s="1" t="s">
        <v>132</v>
      </c>
      <c r="R89" s="1" t="s">
        <v>27</v>
      </c>
    </row>
    <row r="90" spans="5:21" ht="15.75" x14ac:dyDescent="0.25">
      <c r="E90" s="1" t="s">
        <v>64</v>
      </c>
      <c r="F90" s="56">
        <f t="shared" ref="F90:F95" si="14">(G90-2.0583)/6.0131</f>
        <v>8.3146962465284122E-2</v>
      </c>
      <c r="G90" s="13">
        <v>2.558271</v>
      </c>
      <c r="M90"/>
      <c r="N90"/>
      <c r="O90" s="1">
        <v>0</v>
      </c>
      <c r="P90" s="1">
        <v>0.54</v>
      </c>
      <c r="Q90" s="1">
        <v>0.54</v>
      </c>
      <c r="R90" s="1">
        <v>0.54</v>
      </c>
      <c r="S90" s="1">
        <v>0</v>
      </c>
      <c r="T90" s="1">
        <v>0</v>
      </c>
      <c r="U90" s="1">
        <v>0</v>
      </c>
    </row>
    <row r="91" spans="5:21" ht="15.75" x14ac:dyDescent="0.25">
      <c r="E91" s="1" t="s">
        <v>65</v>
      </c>
      <c r="F91" s="56">
        <f t="shared" si="14"/>
        <v>7.242247549516885E-2</v>
      </c>
      <c r="G91" s="13">
        <v>2.4937835873999998</v>
      </c>
      <c r="M91"/>
      <c r="N91"/>
      <c r="O91" s="1">
        <v>0.03</v>
      </c>
      <c r="P91" s="1">
        <v>1.6970560900000002</v>
      </c>
      <c r="Q91" s="1">
        <v>1.3114419599999998</v>
      </c>
      <c r="R91" s="1">
        <v>1.0261312750000009</v>
      </c>
      <c r="S91" s="1">
        <v>1.1570560900000002</v>
      </c>
      <c r="T91" s="1">
        <v>0.77144195999999976</v>
      </c>
      <c r="U91" s="1">
        <v>0.48613127500000086</v>
      </c>
    </row>
    <row r="92" spans="5:21" ht="15.75" x14ac:dyDescent="0.25">
      <c r="E92" s="1" t="s">
        <v>66</v>
      </c>
      <c r="F92" s="56">
        <f t="shared" si="14"/>
        <v>8.1091713763283474E-2</v>
      </c>
      <c r="G92" s="13">
        <v>2.5459125840299999</v>
      </c>
      <c r="H92" s="1">
        <f>AVERAGE(G89:G95)</f>
        <v>2.5582055660471426</v>
      </c>
      <c r="I92" s="1">
        <f>H92/1.978263</f>
        <v>1.2931574649311757</v>
      </c>
      <c r="M92"/>
      <c r="N92"/>
      <c r="O92" s="1">
        <v>0.09</v>
      </c>
      <c r="P92" s="1">
        <v>4.5012549717418544</v>
      </c>
      <c r="Q92" s="1">
        <v>3.1302211629999999</v>
      </c>
      <c r="R92" s="1">
        <v>1.9095193300000011</v>
      </c>
      <c r="S92" s="1">
        <v>3.9612549717418544</v>
      </c>
      <c r="T92" s="1">
        <v>2.5902211629999998</v>
      </c>
      <c r="U92" s="1">
        <v>1.369519330000001</v>
      </c>
    </row>
    <row r="93" spans="5:21" ht="15.75" x14ac:dyDescent="0.25">
      <c r="E93" s="1" t="s">
        <v>67</v>
      </c>
      <c r="F93" s="56">
        <f t="shared" si="14"/>
        <v>7.0191460627629709E-2</v>
      </c>
      <c r="G93" s="13">
        <v>2.4803682719000002</v>
      </c>
      <c r="M93"/>
      <c r="N93"/>
      <c r="O93" s="1">
        <v>0.15</v>
      </c>
      <c r="P93" s="1">
        <v>7.7955636779999997</v>
      </c>
      <c r="Q93" s="1">
        <v>4.5743113500000003</v>
      </c>
      <c r="R93" s="1">
        <v>2.5319310610527999</v>
      </c>
      <c r="S93" s="1">
        <v>7.2555636779999997</v>
      </c>
      <c r="T93" s="1">
        <v>4.0343113500000003</v>
      </c>
      <c r="U93" s="1">
        <v>1.9919310610527998</v>
      </c>
    </row>
    <row r="94" spans="5:21" ht="15.75" x14ac:dyDescent="0.25">
      <c r="E94" s="1" t="s">
        <v>68</v>
      </c>
      <c r="F94" s="56">
        <f t="shared" si="14"/>
        <v>8.5805763083933409E-2</v>
      </c>
      <c r="G94" s="13">
        <v>2.574258634</v>
      </c>
      <c r="M94"/>
      <c r="N94"/>
      <c r="O94" s="1">
        <v>0.24</v>
      </c>
      <c r="P94" s="1">
        <v>10.981730000000001</v>
      </c>
      <c r="Q94" s="1">
        <v>7.0000879999999999</v>
      </c>
      <c r="R94" s="1">
        <v>3.135336525</v>
      </c>
      <c r="S94" s="1">
        <v>10.44173</v>
      </c>
      <c r="T94" s="1">
        <v>6.4600879999999998</v>
      </c>
      <c r="U94" s="1">
        <v>2.595336525</v>
      </c>
    </row>
    <row r="95" spans="5:21" ht="15.75" x14ac:dyDescent="0.25">
      <c r="E95" s="1" t="s">
        <v>69</v>
      </c>
      <c r="F95" s="18">
        <f t="shared" si="14"/>
        <v>9.8090573913621901E-2</v>
      </c>
      <c r="G95" s="15">
        <v>2.6481284299999999</v>
      </c>
      <c r="M95"/>
      <c r="N95"/>
      <c r="O95" s="1">
        <v>0.3</v>
      </c>
      <c r="Q95" s="1">
        <v>7.7413151400000002</v>
      </c>
      <c r="R95" s="1">
        <v>4.1551104999999975</v>
      </c>
      <c r="T95" s="1">
        <v>7.2013151400000002</v>
      </c>
      <c r="U95" s="1">
        <v>3.6151104999999975</v>
      </c>
    </row>
    <row r="96" spans="5:21" ht="16.5" thickBot="1" x14ac:dyDescent="0.3">
      <c r="F96" s="1" t="s">
        <v>70</v>
      </c>
      <c r="G96" s="1">
        <f>_xlfn.STDEV.S(F89:F95)</f>
        <v>9.8520154837605182E-3</v>
      </c>
      <c r="M96"/>
      <c r="N96"/>
    </row>
    <row r="97" spans="8:11" ht="16.5" thickTop="1" thickBot="1" x14ac:dyDescent="0.3">
      <c r="H97" s="126"/>
      <c r="I97" s="126" t="s">
        <v>26</v>
      </c>
      <c r="J97" s="126" t="s">
        <v>6</v>
      </c>
      <c r="K97" s="126" t="s">
        <v>40</v>
      </c>
    </row>
    <row r="98" spans="8:11" ht="15.75" thickTop="1" x14ac:dyDescent="0.25">
      <c r="H98" s="12" t="s">
        <v>84</v>
      </c>
      <c r="I98" s="12">
        <v>22.704812675027014</v>
      </c>
      <c r="J98" s="12">
        <v>18.605202842237766</v>
      </c>
      <c r="K98" s="12">
        <v>32.15677375774397</v>
      </c>
    </row>
    <row r="99" spans="8:11" x14ac:dyDescent="0.25">
      <c r="H99" s="12" t="s">
        <v>85</v>
      </c>
      <c r="I99" s="12">
        <v>40.086456054197917</v>
      </c>
      <c r="J99" s="12">
        <v>27.920400378383043</v>
      </c>
      <c r="K99" s="12">
        <v>50.16140967492899</v>
      </c>
    </row>
    <row r="100" spans="8:11" ht="15.75" thickBot="1" x14ac:dyDescent="0.3">
      <c r="H100" s="125" t="s">
        <v>86</v>
      </c>
      <c r="I100" s="125">
        <v>1222.395792045488</v>
      </c>
      <c r="J100" s="125">
        <v>814.39826589154882</v>
      </c>
      <c r="K100" s="125">
        <v>2021.9169032031391</v>
      </c>
    </row>
    <row r="101" spans="8:11" ht="15.75" thickTop="1" x14ac:dyDescent="0.25"/>
  </sheetData>
  <mergeCells count="8">
    <mergeCell ref="T5:V5"/>
    <mergeCell ref="Y5:AC5"/>
    <mergeCell ref="AD5:AF5"/>
    <mergeCell ref="A1:B1"/>
    <mergeCell ref="A2:B2"/>
    <mergeCell ref="E5:I5"/>
    <mergeCell ref="J5:L5"/>
    <mergeCell ref="O5:S5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5"/>
  <sheetViews>
    <sheetView topLeftCell="A67" workbookViewId="0">
      <selection activeCell="M86" sqref="M86"/>
    </sheetView>
  </sheetViews>
  <sheetFormatPr defaultRowHeight="14.25" x14ac:dyDescent="0.15"/>
  <sheetData>
    <row r="2" spans="2:19" x14ac:dyDescent="0.15">
      <c r="B2" s="87" t="s">
        <v>24</v>
      </c>
    </row>
    <row r="4" spans="2:19" ht="15.75" x14ac:dyDescent="0.25">
      <c r="C4" s="42"/>
      <c r="D4" s="42"/>
      <c r="E4" s="42"/>
      <c r="G4" t="s">
        <v>13</v>
      </c>
      <c r="L4" t="s">
        <v>17</v>
      </c>
    </row>
    <row r="5" spans="2:19" ht="15.75" x14ac:dyDescent="0.25">
      <c r="B5" s="42" t="s">
        <v>6</v>
      </c>
      <c r="C5" s="43" t="s">
        <v>11</v>
      </c>
      <c r="D5" s="43" t="s">
        <v>29</v>
      </c>
      <c r="E5" s="44" t="s">
        <v>12</v>
      </c>
      <c r="G5" s="48" t="s">
        <v>14</v>
      </c>
      <c r="H5" s="49" t="s">
        <v>15</v>
      </c>
      <c r="I5" s="49" t="s">
        <v>30</v>
      </c>
      <c r="J5" s="47" t="s">
        <v>16</v>
      </c>
      <c r="L5" s="34"/>
      <c r="M5" s="35" t="s">
        <v>18</v>
      </c>
      <c r="N5" s="43" t="s">
        <v>29</v>
      </c>
      <c r="O5" s="36" t="s">
        <v>19</v>
      </c>
    </row>
    <row r="6" spans="2:19" ht="15.75" x14ac:dyDescent="0.25">
      <c r="B6" s="114">
        <v>0</v>
      </c>
      <c r="C6" s="115">
        <v>3.8029634359999995E-3</v>
      </c>
      <c r="D6" s="115">
        <v>3.1256895260000001E-3</v>
      </c>
      <c r="E6" s="45">
        <v>0</v>
      </c>
      <c r="G6" s="48">
        <v>0</v>
      </c>
      <c r="H6" s="115">
        <v>3.8029634359999995E-3</v>
      </c>
      <c r="I6" s="115">
        <v>3.1256895260000001E-3</v>
      </c>
      <c r="J6" s="50">
        <v>0</v>
      </c>
      <c r="L6" s="37">
        <v>0</v>
      </c>
      <c r="M6" s="38">
        <v>3.8029634359999995E-3</v>
      </c>
      <c r="N6" s="38">
        <v>3.1256895260000001E-3</v>
      </c>
      <c r="O6" s="39">
        <v>1.53842636993251</v>
      </c>
    </row>
    <row r="7" spans="2:19" ht="15.75" x14ac:dyDescent="0.25">
      <c r="B7" s="114">
        <v>8.5630407616780731E-4</v>
      </c>
      <c r="C7" s="115">
        <v>0.34682415897678287</v>
      </c>
      <c r="D7" s="115">
        <v>0.50603601664465003</v>
      </c>
      <c r="E7" s="45">
        <v>0.65348790000000001</v>
      </c>
      <c r="G7" s="10">
        <v>6.9550000000000001E-2</v>
      </c>
      <c r="H7" s="51">
        <v>0.34793496666666596</v>
      </c>
      <c r="I7" s="51">
        <v>0.65721454333333185</v>
      </c>
      <c r="J7" s="51">
        <v>0.69364733016626989</v>
      </c>
      <c r="L7" s="37">
        <v>2.5999999999999999E-2</v>
      </c>
      <c r="M7" s="115">
        <v>0.4682299572370236</v>
      </c>
      <c r="N7" s="115">
        <v>0.77443938794713318</v>
      </c>
      <c r="O7" s="115">
        <v>3.1256895260000001E-3</v>
      </c>
    </row>
    <row r="8" spans="2:19" ht="15.75" x14ac:dyDescent="0.25">
      <c r="B8" s="114">
        <v>7.0559999999999998E-2</v>
      </c>
      <c r="C8" s="115">
        <v>1.7015093866666671</v>
      </c>
      <c r="D8" s="115">
        <v>2.185751099206461</v>
      </c>
      <c r="E8" s="45">
        <v>2.7249254399809502</v>
      </c>
      <c r="G8" s="10">
        <v>0.13</v>
      </c>
      <c r="H8" s="51">
        <v>1.3831871290799651</v>
      </c>
      <c r="I8" s="51">
        <v>1.5391658676624342</v>
      </c>
      <c r="J8" s="51">
        <v>1.3866281348211404</v>
      </c>
      <c r="L8" s="37">
        <v>5.1999999999999998E-2</v>
      </c>
      <c r="M8" s="38">
        <v>0.67798786333333305</v>
      </c>
      <c r="N8" s="11">
        <v>1.3541510400000003</v>
      </c>
      <c r="O8" s="51">
        <v>4.5678900000000002</v>
      </c>
    </row>
    <row r="9" spans="2:19" ht="15.75" x14ac:dyDescent="0.25">
      <c r="B9" s="114">
        <v>5.2000000000000005E-2</v>
      </c>
      <c r="C9" s="115">
        <v>1.3074747989272524</v>
      </c>
      <c r="D9" s="115">
        <v>1.4903705313029079</v>
      </c>
      <c r="E9" s="45">
        <v>1.8963770506607001</v>
      </c>
      <c r="G9" s="10">
        <v>0.26419999999999999</v>
      </c>
      <c r="H9" s="51">
        <v>3.5714077096704515</v>
      </c>
      <c r="I9" s="51">
        <v>4.7435528808286369</v>
      </c>
      <c r="J9" s="51">
        <v>2.9821735386868995</v>
      </c>
      <c r="L9" s="37">
        <v>0.1353</v>
      </c>
      <c r="M9" s="38">
        <v>3.4192555504327409</v>
      </c>
      <c r="N9" s="11">
        <v>3.7132737995948779</v>
      </c>
      <c r="O9" s="51">
        <v>9.3786400000000008</v>
      </c>
    </row>
    <row r="10" spans="2:19" ht="15.75" x14ac:dyDescent="0.25">
      <c r="B10" s="114">
        <v>2.7459999999999998E-2</v>
      </c>
      <c r="C10" s="115">
        <v>0.77714165710260019</v>
      </c>
      <c r="D10" s="115">
        <v>1.2799847491573051</v>
      </c>
      <c r="E10" s="45">
        <v>1.3733493312209468</v>
      </c>
      <c r="G10" s="10">
        <v>0.38480000000000003</v>
      </c>
      <c r="H10" s="51">
        <v>5.4908870636666656</v>
      </c>
      <c r="I10" s="51">
        <v>6.5117703099999993</v>
      </c>
      <c r="J10" s="54">
        <v>3.998739963950622</v>
      </c>
      <c r="L10" s="37">
        <v>0.2596</v>
      </c>
      <c r="M10" s="38">
        <v>6.334559053255675</v>
      </c>
      <c r="N10" s="38">
        <v>7.6452253231615162</v>
      </c>
      <c r="O10" s="39">
        <v>12.789634</v>
      </c>
    </row>
    <row r="11" spans="2:19" ht="15.75" x14ac:dyDescent="0.25">
      <c r="B11" s="114">
        <v>0.1148</v>
      </c>
      <c r="C11" s="115">
        <v>3.3516067290451872</v>
      </c>
      <c r="D11" s="115">
        <v>3.8115664707561514</v>
      </c>
      <c r="E11" s="45">
        <v>4.7293026999999999</v>
      </c>
      <c r="G11" s="52">
        <v>0.504</v>
      </c>
      <c r="H11" s="54">
        <v>6.6032941433414649</v>
      </c>
      <c r="I11" s="54">
        <v>7.5658308604854696</v>
      </c>
      <c r="L11" s="40">
        <v>0.39060000000000006</v>
      </c>
      <c r="M11" s="41">
        <v>8.7384798172203428</v>
      </c>
      <c r="N11" s="53">
        <v>10.651957416403331</v>
      </c>
      <c r="O11" s="54">
        <v>0.67889297063561982</v>
      </c>
      <c r="P11" s="37">
        <v>0.54600000000000004</v>
      </c>
      <c r="Q11" s="38">
        <v>11.4973098932093</v>
      </c>
      <c r="R11" s="38">
        <v>14.5848902</v>
      </c>
      <c r="S11" s="39">
        <v>18.240279999999998</v>
      </c>
    </row>
    <row r="12" spans="2:19" ht="15.75" x14ac:dyDescent="0.25">
      <c r="B12" s="114">
        <v>0.26200000000000001</v>
      </c>
      <c r="C12" s="115">
        <v>8.6308201423408786</v>
      </c>
      <c r="D12" s="115">
        <v>9.8253091668244874</v>
      </c>
      <c r="E12" s="45">
        <v>11.094783919999999</v>
      </c>
      <c r="L12">
        <v>0.54600000000000004</v>
      </c>
      <c r="M12">
        <v>11.53830105294591</v>
      </c>
      <c r="N12">
        <v>14.60389563532498</v>
      </c>
      <c r="P12" s="37">
        <v>0.69</v>
      </c>
      <c r="Q12" s="38">
        <v>15.1551337632617</v>
      </c>
      <c r="R12" s="38">
        <v>17.722760999999998</v>
      </c>
      <c r="S12" s="39">
        <v>22.382719000000002</v>
      </c>
    </row>
    <row r="13" spans="2:19" ht="15.75" x14ac:dyDescent="0.25">
      <c r="B13" s="114">
        <v>0.40674937965260549</v>
      </c>
      <c r="C13" s="115">
        <v>11.838839258579926</v>
      </c>
      <c r="D13" s="115">
        <v>15.627054158495403</v>
      </c>
      <c r="E13" s="45">
        <v>17.159368203</v>
      </c>
    </row>
    <row r="14" spans="2:19" ht="15.75" x14ac:dyDescent="0.25">
      <c r="B14" s="116">
        <v>0.51200000000000001</v>
      </c>
      <c r="C14" s="117">
        <v>14.854117888168764</v>
      </c>
      <c r="D14" s="117">
        <v>17.577116799338569</v>
      </c>
      <c r="E14" s="46">
        <v>21.639852999999999</v>
      </c>
    </row>
    <row r="17" spans="2:25" x14ac:dyDescent="0.15">
      <c r="B17" s="87" t="s">
        <v>4</v>
      </c>
    </row>
    <row r="18" spans="2:25" ht="15.75" x14ac:dyDescent="0.25">
      <c r="B18" s="55"/>
      <c r="C18" s="157" t="s">
        <v>2</v>
      </c>
      <c r="D18" s="158"/>
      <c r="E18" s="159"/>
      <c r="F18" s="55" t="s">
        <v>20</v>
      </c>
      <c r="G18" s="16"/>
      <c r="H18" s="17"/>
      <c r="I18" s="2"/>
      <c r="J18" s="57"/>
      <c r="K18" s="57" t="s">
        <v>2</v>
      </c>
      <c r="L18" s="58"/>
      <c r="M18" s="59"/>
      <c r="N18" s="57" t="s">
        <v>2</v>
      </c>
      <c r="O18" s="58"/>
      <c r="P18" s="59"/>
      <c r="Q18" s="2"/>
      <c r="R18" s="57"/>
      <c r="S18" s="57" t="s">
        <v>2</v>
      </c>
      <c r="T18" s="58"/>
      <c r="U18" s="59"/>
      <c r="V18" s="57" t="s">
        <v>2</v>
      </c>
      <c r="W18" s="58"/>
      <c r="X18" s="59"/>
      <c r="Y18" s="2"/>
    </row>
    <row r="19" spans="2:25" ht="15.75" x14ac:dyDescent="0.25">
      <c r="B19" s="56" t="s">
        <v>32</v>
      </c>
      <c r="C19" s="18" t="s">
        <v>15</v>
      </c>
      <c r="D19" s="14" t="s">
        <v>30</v>
      </c>
      <c r="E19" s="15" t="s">
        <v>16</v>
      </c>
      <c r="F19" s="78" t="s">
        <v>15</v>
      </c>
      <c r="G19" s="80" t="s">
        <v>30</v>
      </c>
      <c r="H19" s="15" t="s">
        <v>16</v>
      </c>
      <c r="I19" s="2"/>
      <c r="J19" s="70" t="s">
        <v>22</v>
      </c>
      <c r="K19" s="73" t="s">
        <v>15</v>
      </c>
      <c r="L19" s="74" t="s">
        <v>30</v>
      </c>
      <c r="M19" s="64" t="s">
        <v>16</v>
      </c>
      <c r="N19" s="73" t="s">
        <v>15</v>
      </c>
      <c r="O19" s="80" t="s">
        <v>30</v>
      </c>
      <c r="P19" s="64" t="s">
        <v>16</v>
      </c>
      <c r="Q19" s="2"/>
      <c r="R19" s="70" t="s">
        <v>23</v>
      </c>
      <c r="S19" s="73" t="s">
        <v>15</v>
      </c>
      <c r="T19" s="74" t="s">
        <v>30</v>
      </c>
      <c r="U19" s="64" t="s">
        <v>16</v>
      </c>
      <c r="V19" s="73" t="s">
        <v>15</v>
      </c>
      <c r="W19" s="82" t="s">
        <v>30</v>
      </c>
      <c r="X19" s="64" t="s">
        <v>16</v>
      </c>
      <c r="Y19" s="2"/>
    </row>
    <row r="20" spans="2:25" ht="15.75" x14ac:dyDescent="0.25">
      <c r="B20" s="81">
        <v>0</v>
      </c>
      <c r="C20" s="68">
        <v>1.1646008733333322</v>
      </c>
      <c r="D20" s="67">
        <v>1.3481736000000015</v>
      </c>
      <c r="E20" s="13">
        <v>1.6263052376714999</v>
      </c>
      <c r="F20" s="65">
        <v>0</v>
      </c>
      <c r="G20" s="68">
        <v>0</v>
      </c>
      <c r="H20" s="13">
        <v>0</v>
      </c>
      <c r="I20" s="2"/>
      <c r="J20" s="70">
        <v>0</v>
      </c>
      <c r="K20" s="71">
        <v>1.1646008733333322</v>
      </c>
      <c r="L20" s="67">
        <v>1.3481736000000015</v>
      </c>
      <c r="M20" s="61">
        <v>1.6263052376714999</v>
      </c>
      <c r="N20" s="71">
        <v>0</v>
      </c>
      <c r="O20" s="71">
        <v>0</v>
      </c>
      <c r="P20" s="61">
        <v>0</v>
      </c>
      <c r="Q20" s="2"/>
      <c r="R20" s="70">
        <v>0</v>
      </c>
      <c r="S20" s="70">
        <v>1.1646008733333322</v>
      </c>
      <c r="T20" s="67">
        <v>1.3481736000000015</v>
      </c>
      <c r="U20" s="61">
        <v>1.07</v>
      </c>
      <c r="V20" s="85">
        <v>0</v>
      </c>
      <c r="W20" s="86">
        <v>0</v>
      </c>
      <c r="X20" s="58">
        <v>0</v>
      </c>
      <c r="Y20" s="2">
        <v>0.64999999999999991</v>
      </c>
    </row>
    <row r="21" spans="2:25" ht="15.75" x14ac:dyDescent="0.25">
      <c r="B21" s="65">
        <v>8.9999999999999993E-3</v>
      </c>
      <c r="C21" s="68">
        <v>1.3760424833333342</v>
      </c>
      <c r="D21" s="68">
        <v>1.5037726383333341</v>
      </c>
      <c r="E21" s="13">
        <v>1.9895931100000004</v>
      </c>
      <c r="F21" s="65">
        <v>0.211441610000002</v>
      </c>
      <c r="G21" s="68">
        <v>0.15559903833333255</v>
      </c>
      <c r="H21" s="13">
        <v>0.36328787232850046</v>
      </c>
      <c r="I21" s="2"/>
      <c r="J21" s="70">
        <v>1.0500000000000001E-2</v>
      </c>
      <c r="K21" s="71">
        <v>1.3383278151666669</v>
      </c>
      <c r="L21" s="71">
        <v>1.8158848466666673</v>
      </c>
      <c r="M21" s="61">
        <v>1.9099630896819999</v>
      </c>
      <c r="N21" s="71">
        <v>0.1737269418333347</v>
      </c>
      <c r="O21" s="71">
        <v>0.46771124666666575</v>
      </c>
      <c r="P21" s="61">
        <v>0.28365785201049998</v>
      </c>
      <c r="Q21" s="2"/>
      <c r="R21" s="70">
        <v>0.03</v>
      </c>
      <c r="S21" s="70">
        <v>1.5354049536449328</v>
      </c>
      <c r="T21" s="71">
        <v>1.7570630290942357</v>
      </c>
      <c r="U21" s="61">
        <v>1.3268785400000001</v>
      </c>
      <c r="V21" s="70">
        <v>0.37080408031160061</v>
      </c>
      <c r="W21" s="71">
        <v>0.4088894290942342</v>
      </c>
      <c r="X21" s="60">
        <v>0.25687853999999999</v>
      </c>
      <c r="Y21" s="2">
        <v>0.8729269999999999</v>
      </c>
    </row>
    <row r="22" spans="2:25" ht="15.75" x14ac:dyDescent="0.25">
      <c r="B22" s="65">
        <v>2.8700000000000003E-2</v>
      </c>
      <c r="C22" s="68">
        <v>1.7842278947966033</v>
      </c>
      <c r="D22" s="68">
        <v>2.1689572733019062</v>
      </c>
      <c r="E22" s="13">
        <v>2.7689926673889378</v>
      </c>
      <c r="F22" s="65">
        <v>0.61962702146327109</v>
      </c>
      <c r="G22" s="68">
        <v>0.82078367330190471</v>
      </c>
      <c r="H22" s="13">
        <v>1.1426874297174379</v>
      </c>
      <c r="I22" s="2"/>
      <c r="J22" s="70">
        <v>0.03</v>
      </c>
      <c r="K22" s="71">
        <v>1.7045073266666648</v>
      </c>
      <c r="L22" s="71">
        <v>2.089300293333332</v>
      </c>
      <c r="M22" s="61">
        <v>2.4329730151062363</v>
      </c>
      <c r="N22" s="71">
        <v>0.53990645333333265</v>
      </c>
      <c r="O22" s="71">
        <v>0.74112669333333048</v>
      </c>
      <c r="P22" s="61">
        <v>0.80666777743473639</v>
      </c>
      <c r="Q22" s="2"/>
      <c r="R22" s="70">
        <v>0.06</v>
      </c>
      <c r="S22" s="70">
        <v>1.7480896033333337</v>
      </c>
      <c r="T22" s="71">
        <v>2.3472033224991669</v>
      </c>
      <c r="U22" s="61">
        <v>1.8294901699999997</v>
      </c>
      <c r="V22" s="70">
        <v>0.58348873000000157</v>
      </c>
      <c r="W22" s="71">
        <v>0.99902972249916533</v>
      </c>
      <c r="X22" s="60">
        <v>0.75949016999999963</v>
      </c>
      <c r="Y22" s="2">
        <v>1.1971816174974002</v>
      </c>
    </row>
    <row r="23" spans="2:25" ht="15.75" x14ac:dyDescent="0.25">
      <c r="B23" s="65">
        <v>4.2350000000000006E-2</v>
      </c>
      <c r="C23" s="68">
        <v>2.1961658813257565</v>
      </c>
      <c r="D23" s="68">
        <v>2.8155374764722914</v>
      </c>
      <c r="E23" s="13">
        <v>2.9916858688063712</v>
      </c>
      <c r="F23" s="65">
        <v>1.0315650079924243</v>
      </c>
      <c r="G23" s="68">
        <v>1.4673638764722898</v>
      </c>
      <c r="H23" s="13">
        <v>1.3653806311348713</v>
      </c>
      <c r="I23" s="2"/>
      <c r="J23" s="70">
        <v>0.06</v>
      </c>
      <c r="K23" s="71">
        <v>1.926483953333334</v>
      </c>
      <c r="L23" s="71">
        <v>2.359337529999999</v>
      </c>
      <c r="M23" s="61">
        <v>2.7817025200000023</v>
      </c>
      <c r="N23" s="71">
        <v>0.76188308000000182</v>
      </c>
      <c r="O23" s="71">
        <v>1.0111639299999975</v>
      </c>
      <c r="P23" s="61">
        <v>1.1553972823285024</v>
      </c>
      <c r="Q23" s="2"/>
      <c r="R23" s="70">
        <v>0.12</v>
      </c>
      <c r="S23" s="70">
        <v>2.5045686000000003</v>
      </c>
      <c r="T23" s="71">
        <v>3.2793645066666657</v>
      </c>
      <c r="U23" s="61">
        <v>2.2779189500000001</v>
      </c>
      <c r="V23" s="70">
        <v>1.3399677266666681</v>
      </c>
      <c r="W23" s="71">
        <v>1.9311909066666642</v>
      </c>
      <c r="X23" s="60">
        <v>1.20791895</v>
      </c>
      <c r="Y23" s="2">
        <v>1.5962539800000002</v>
      </c>
    </row>
    <row r="24" spans="2:25" ht="15.75" x14ac:dyDescent="0.25">
      <c r="B24" s="65">
        <v>5.5024875621890554E-2</v>
      </c>
      <c r="C24" s="68">
        <v>2.3421982912985122</v>
      </c>
      <c r="D24" s="68">
        <v>3.1598113790312716</v>
      </c>
      <c r="E24" s="13">
        <v>3.5476817610031639</v>
      </c>
      <c r="F24" s="65">
        <v>1.17759741796518</v>
      </c>
      <c r="G24" s="68">
        <v>1.8116377790312701</v>
      </c>
      <c r="H24" s="13">
        <v>1.921376523331664</v>
      </c>
      <c r="I24" s="2"/>
      <c r="J24" s="70">
        <v>0.09</v>
      </c>
      <c r="K24" s="71">
        <v>2.7486669200000002</v>
      </c>
      <c r="L24" s="71">
        <v>2.8731583966666654</v>
      </c>
      <c r="M24" s="61">
        <v>3.3717644999999998</v>
      </c>
      <c r="N24" s="71">
        <v>1.5840660466666681</v>
      </c>
      <c r="O24" s="71">
        <v>1.5249847966666639</v>
      </c>
      <c r="P24" s="61">
        <v>1.7454592623284999</v>
      </c>
      <c r="Q24" s="2"/>
      <c r="R24" s="70">
        <v>0.24</v>
      </c>
      <c r="S24" s="70">
        <v>3.2909188833333332</v>
      </c>
      <c r="T24" s="71">
        <v>4.0489555566666668</v>
      </c>
      <c r="U24" s="61">
        <v>2.9853206999999999</v>
      </c>
      <c r="V24" s="70">
        <v>2.1263180100000012</v>
      </c>
      <c r="W24" s="71">
        <v>2.7007819566666651</v>
      </c>
      <c r="X24" s="60">
        <v>1.9153206999999999</v>
      </c>
      <c r="Y24" s="2">
        <v>2.05472009</v>
      </c>
    </row>
    <row r="25" spans="2:25" ht="15.75" x14ac:dyDescent="0.25">
      <c r="B25" s="65">
        <v>9.4500000000000001E-2</v>
      </c>
      <c r="C25" s="68">
        <v>3.0830321899999986</v>
      </c>
      <c r="D25" s="68">
        <v>3.7171156932499003</v>
      </c>
      <c r="E25" s="13">
        <v>4.0676500000000004</v>
      </c>
      <c r="F25" s="65">
        <v>1.9184313166666664</v>
      </c>
      <c r="G25" s="68">
        <v>2.368942093249899</v>
      </c>
      <c r="H25" s="13">
        <v>2.4413447623285007</v>
      </c>
      <c r="I25" s="2"/>
      <c r="J25" s="70">
        <v>0.15</v>
      </c>
      <c r="K25" s="71">
        <v>3.5532438499999999</v>
      </c>
      <c r="L25" s="71">
        <v>4.3082940566666652</v>
      </c>
      <c r="M25" s="61">
        <v>5.4858628399999958</v>
      </c>
      <c r="N25" s="71">
        <v>2.3886429766666675</v>
      </c>
      <c r="O25" s="71">
        <v>2.9601204566666635</v>
      </c>
      <c r="P25" s="61">
        <v>3.8595576023284961</v>
      </c>
      <c r="Q25" s="2"/>
      <c r="R25" s="70">
        <v>0.3</v>
      </c>
      <c r="S25" s="70">
        <v>5.078164113333334</v>
      </c>
      <c r="T25" s="71">
        <v>5.9452507433333333</v>
      </c>
      <c r="U25" s="61">
        <v>4.38043285</v>
      </c>
      <c r="V25" s="70">
        <v>3.913563240000002</v>
      </c>
      <c r="W25" s="71">
        <v>4.5970771433333315</v>
      </c>
      <c r="X25" s="60">
        <v>3.3104328499999998</v>
      </c>
      <c r="Y25" s="2">
        <v>2.8265679000000001</v>
      </c>
    </row>
    <row r="26" spans="2:25" ht="15.75" x14ac:dyDescent="0.25">
      <c r="B26" s="65">
        <v>0.1575</v>
      </c>
      <c r="C26" s="68">
        <v>5.3040962766666659</v>
      </c>
      <c r="D26" s="68">
        <v>6.3744562533333324</v>
      </c>
      <c r="E26" s="13">
        <v>6.1174000000000008</v>
      </c>
      <c r="F26" s="65">
        <v>4.139495403333334</v>
      </c>
      <c r="G26" s="68">
        <v>5.0262826533333307</v>
      </c>
      <c r="H26" s="13">
        <v>4.4910947623285011</v>
      </c>
      <c r="I26" s="2"/>
      <c r="J26" s="70">
        <v>0.24</v>
      </c>
      <c r="K26" s="71">
        <v>5.2023556849999988</v>
      </c>
      <c r="L26" s="71">
        <v>5.8571079200000007</v>
      </c>
      <c r="M26" s="61">
        <v>7.1453873999999997</v>
      </c>
      <c r="N26" s="71">
        <v>4.0377548116666668</v>
      </c>
      <c r="O26" s="71">
        <v>4.5089343199999989</v>
      </c>
      <c r="P26" s="61">
        <v>5.5190821623285</v>
      </c>
      <c r="Q26" s="2"/>
      <c r="R26" s="70">
        <v>0.45</v>
      </c>
      <c r="S26" s="70">
        <v>6.0131641133333327</v>
      </c>
      <c r="T26" s="71">
        <v>7.2527528333333322</v>
      </c>
      <c r="U26" s="61">
        <v>5.5984571000000001</v>
      </c>
      <c r="V26" s="70">
        <v>4.8485632400000007</v>
      </c>
      <c r="W26" s="71">
        <v>5.9045792333333305</v>
      </c>
      <c r="X26" s="60">
        <v>4.5284570999999998</v>
      </c>
      <c r="Y26" s="2">
        <v>3.5716803000000001</v>
      </c>
    </row>
    <row r="27" spans="2:25" ht="15.75" x14ac:dyDescent="0.25">
      <c r="B27" s="65">
        <v>0.24</v>
      </c>
      <c r="C27" s="82">
        <v>7.2983486830963029</v>
      </c>
      <c r="D27" s="82">
        <v>8.3392659841406758</v>
      </c>
      <c r="E27" s="15">
        <v>9.3884000000000007</v>
      </c>
      <c r="F27" s="78">
        <v>6.133747809762971</v>
      </c>
      <c r="G27" s="68">
        <v>6.991092384140674</v>
      </c>
      <c r="H27" s="15">
        <v>7.762094762328501</v>
      </c>
      <c r="I27" s="2"/>
      <c r="J27" s="70">
        <v>0.3</v>
      </c>
      <c r="K27" s="71">
        <v>6.2620373433333327</v>
      </c>
      <c r="L27" s="71">
        <v>7.7025979699999993</v>
      </c>
      <c r="M27" s="61">
        <v>8.2857213437500086</v>
      </c>
      <c r="N27" s="71">
        <v>5.0974364700000008</v>
      </c>
      <c r="O27" s="71">
        <v>6.3544243699999976</v>
      </c>
      <c r="P27" s="61">
        <v>6.6594161060785089</v>
      </c>
      <c r="Q27" s="2"/>
      <c r="R27" s="73">
        <v>0.6</v>
      </c>
      <c r="S27" s="73">
        <v>8.4226227733333321</v>
      </c>
      <c r="T27" s="74">
        <v>9.4104575866666682</v>
      </c>
      <c r="U27" s="64">
        <v>7.2998721</v>
      </c>
      <c r="V27" s="73">
        <v>7.2580219000000001</v>
      </c>
      <c r="W27" s="74">
        <v>8.0622839866666673</v>
      </c>
      <c r="X27" s="63">
        <v>6.2298720999999997</v>
      </c>
      <c r="Y27" s="2">
        <v>4.5835723500000007</v>
      </c>
    </row>
    <row r="28" spans="2:25" ht="15.75" x14ac:dyDescent="0.25">
      <c r="B28" s="70">
        <v>0.3</v>
      </c>
      <c r="C28" s="83">
        <v>9.7739618250000007</v>
      </c>
      <c r="D28" s="83">
        <v>11.648603014397002</v>
      </c>
      <c r="E28" s="2"/>
      <c r="F28" s="83">
        <v>8.6093609516666678</v>
      </c>
      <c r="G28" s="68">
        <v>10.300429414397001</v>
      </c>
      <c r="H28" s="2"/>
      <c r="I28" s="2"/>
      <c r="J28" s="73"/>
      <c r="K28" s="74"/>
      <c r="L28" s="74"/>
      <c r="M28" s="64"/>
      <c r="N28" s="74"/>
      <c r="O28" s="74"/>
      <c r="P28" s="64"/>
      <c r="Q28" s="2"/>
      <c r="R28" s="2"/>
      <c r="S28" s="2"/>
      <c r="T28" s="2"/>
      <c r="U28" s="2"/>
      <c r="V28" s="2"/>
      <c r="W28" s="2"/>
      <c r="X28" s="2"/>
    </row>
    <row r="29" spans="2:25" ht="15.75" x14ac:dyDescent="0.25">
      <c r="B29" s="73"/>
      <c r="C29" s="84"/>
      <c r="D29" s="84"/>
      <c r="F29" s="84"/>
      <c r="G29" s="68"/>
    </row>
    <row r="30" spans="2:25" ht="15.75" x14ac:dyDescent="0.25">
      <c r="B30" s="2"/>
      <c r="G30" s="68"/>
    </row>
    <row r="31" spans="2:25" ht="15" x14ac:dyDescent="0.15">
      <c r="B31" s="113" t="s">
        <v>52</v>
      </c>
    </row>
    <row r="32" spans="2:25" ht="15.75" x14ac:dyDescent="0.25">
      <c r="B32" s="55" t="s">
        <v>6</v>
      </c>
      <c r="C32" s="148" t="s">
        <v>2</v>
      </c>
      <c r="D32" s="155"/>
      <c r="E32" s="156"/>
      <c r="F32" s="148" t="s">
        <v>25</v>
      </c>
      <c r="G32" s="155"/>
      <c r="H32" s="156"/>
      <c r="I32" s="1"/>
      <c r="J32" s="55" t="s">
        <v>26</v>
      </c>
      <c r="K32" s="148" t="s">
        <v>2</v>
      </c>
      <c r="L32" s="155"/>
      <c r="M32" s="156"/>
      <c r="N32" s="148" t="s">
        <v>25</v>
      </c>
      <c r="O32" s="155"/>
      <c r="P32" s="156"/>
      <c r="Q32" s="1"/>
      <c r="R32" s="55" t="s">
        <v>27</v>
      </c>
      <c r="S32" s="148" t="s">
        <v>2</v>
      </c>
      <c r="T32" s="155"/>
      <c r="U32" s="156"/>
      <c r="V32" s="148" t="s">
        <v>25</v>
      </c>
      <c r="W32" s="155"/>
      <c r="X32" s="156"/>
    </row>
    <row r="33" spans="1:24" ht="15.75" x14ac:dyDescent="0.25">
      <c r="B33" s="65" t="s">
        <v>21</v>
      </c>
      <c r="C33" s="76" t="s">
        <v>7</v>
      </c>
      <c r="D33" s="80" t="s">
        <v>31</v>
      </c>
      <c r="E33" s="21" t="s">
        <v>8</v>
      </c>
      <c r="F33" s="76" t="s">
        <v>7</v>
      </c>
      <c r="G33" s="80" t="s">
        <v>31</v>
      </c>
      <c r="H33" s="21" t="s">
        <v>8</v>
      </c>
      <c r="I33" s="1"/>
      <c r="J33" s="65" t="s">
        <v>21</v>
      </c>
      <c r="K33" s="76" t="s">
        <v>7</v>
      </c>
      <c r="L33" s="80" t="s">
        <v>31</v>
      </c>
      <c r="M33" s="21" t="s">
        <v>8</v>
      </c>
      <c r="N33" s="76" t="s">
        <v>7</v>
      </c>
      <c r="O33" s="80" t="s">
        <v>31</v>
      </c>
      <c r="P33" s="21" t="s">
        <v>8</v>
      </c>
      <c r="Q33" s="1"/>
      <c r="R33" s="65" t="s">
        <v>21</v>
      </c>
      <c r="S33" s="76" t="s">
        <v>7</v>
      </c>
      <c r="T33" s="80" t="s">
        <v>31</v>
      </c>
      <c r="U33" s="21" t="s">
        <v>8</v>
      </c>
      <c r="V33" s="76" t="s">
        <v>7</v>
      </c>
      <c r="W33" s="80" t="s">
        <v>31</v>
      </c>
      <c r="X33" s="21" t="s">
        <v>8</v>
      </c>
    </row>
    <row r="34" spans="1:24" ht="15.75" x14ac:dyDescent="0.25">
      <c r="A34">
        <f>B34/0.3</f>
        <v>0</v>
      </c>
      <c r="B34" s="65">
        <v>0</v>
      </c>
      <c r="C34" s="81">
        <v>1.6557260869565218</v>
      </c>
      <c r="D34" s="93">
        <v>2.2267770865236614</v>
      </c>
      <c r="E34" s="17">
        <v>1.2576990004861199</v>
      </c>
      <c r="F34" s="68">
        <v>0</v>
      </c>
      <c r="G34" s="68">
        <v>0</v>
      </c>
      <c r="H34" s="13">
        <v>0</v>
      </c>
      <c r="I34" s="1"/>
      <c r="J34" s="65">
        <v>0</v>
      </c>
      <c r="K34" s="81">
        <v>1.6557260869565218</v>
      </c>
      <c r="L34" s="66">
        <v>2.2267770865236614</v>
      </c>
      <c r="M34" s="17">
        <v>1.2342068972420537</v>
      </c>
      <c r="N34" s="68">
        <v>0</v>
      </c>
      <c r="O34" s="68">
        <v>0</v>
      </c>
      <c r="P34" s="13">
        <v>0</v>
      </c>
      <c r="Q34" s="1"/>
      <c r="R34" s="65">
        <v>0</v>
      </c>
      <c r="S34" s="81">
        <v>2.1643478260869564</v>
      </c>
      <c r="T34" s="66">
        <v>2.5859652173913048</v>
      </c>
      <c r="U34" s="17">
        <v>1.2342068972420537</v>
      </c>
      <c r="V34" s="68">
        <v>0</v>
      </c>
      <c r="W34" s="68">
        <v>0</v>
      </c>
      <c r="X34" s="13">
        <v>0</v>
      </c>
    </row>
    <row r="35" spans="1:24" ht="15.75" x14ac:dyDescent="0.25">
      <c r="A35">
        <f t="shared" ref="A35:A42" si="0">B35/0.3</f>
        <v>0.75</v>
      </c>
      <c r="B35" s="65">
        <v>0.22499999999999998</v>
      </c>
      <c r="C35" s="65">
        <v>5.3852955844084889</v>
      </c>
      <c r="D35" s="28">
        <v>6.5530254451799292</v>
      </c>
      <c r="E35" s="13">
        <v>3.6571947902820838</v>
      </c>
      <c r="F35" s="68">
        <v>3.7295694974519673</v>
      </c>
      <c r="G35" s="68">
        <v>4.3262483586562679</v>
      </c>
      <c r="H35" s="13">
        <v>2.3994957897959637</v>
      </c>
      <c r="I35" s="1"/>
      <c r="J35" s="65">
        <v>4.4999999999999998E-2</v>
      </c>
      <c r="K35" s="65">
        <v>2.3925815004831441</v>
      </c>
      <c r="L35" s="68">
        <v>2.8858536335148792</v>
      </c>
      <c r="M35" s="13">
        <v>1.323241908743499</v>
      </c>
      <c r="N35" s="68">
        <v>0.73685541352662232</v>
      </c>
      <c r="O35" s="68">
        <v>0.65907654699121787</v>
      </c>
      <c r="P35" s="13">
        <v>8.9035011501445327E-2</v>
      </c>
      <c r="Q35" s="1"/>
      <c r="R35" s="65">
        <v>7.4999999999999997E-2</v>
      </c>
      <c r="S35" s="65">
        <v>2.4318912142991493</v>
      </c>
      <c r="T35" s="68">
        <v>3.2130164549999991</v>
      </c>
      <c r="U35" s="13">
        <v>1.7711116199999983</v>
      </c>
      <c r="V35" s="68">
        <v>0.77616512734262755</v>
      </c>
      <c r="W35" s="68">
        <v>0.63671645499999907</v>
      </c>
      <c r="X35" s="13">
        <v>0.53690472275794465</v>
      </c>
    </row>
    <row r="36" spans="1:24" ht="15.75" x14ac:dyDescent="0.25">
      <c r="A36">
        <f t="shared" si="0"/>
        <v>0.5</v>
      </c>
      <c r="B36" s="65">
        <v>0.15</v>
      </c>
      <c r="C36" s="65">
        <v>4.5492308328885471</v>
      </c>
      <c r="D36" s="28">
        <v>5.4822991770190539</v>
      </c>
      <c r="E36" s="13">
        <v>2.8075146112082363</v>
      </c>
      <c r="F36" s="68">
        <v>2.8935047459320256</v>
      </c>
      <c r="G36" s="68">
        <v>3.2555220904953925</v>
      </c>
      <c r="H36" s="13">
        <v>1.9321526323052354</v>
      </c>
      <c r="I36" s="1"/>
      <c r="J36" s="65">
        <v>0.15</v>
      </c>
      <c r="K36" s="65">
        <v>3.0521587775122199</v>
      </c>
      <c r="L36" s="68">
        <v>4.0436817155000018</v>
      </c>
      <c r="M36" s="13">
        <v>1.7131299534518016</v>
      </c>
      <c r="N36" s="68">
        <v>1.3964326905556981</v>
      </c>
      <c r="O36" s="68">
        <v>1.8169046289763404</v>
      </c>
      <c r="P36" s="13">
        <v>0.47892305620974795</v>
      </c>
      <c r="Q36" s="1"/>
      <c r="R36" s="65">
        <v>0.15</v>
      </c>
      <c r="S36" s="65">
        <v>2.9909897855013994</v>
      </c>
      <c r="T36" s="68">
        <v>3.711976476666667</v>
      </c>
      <c r="U36" s="13">
        <v>1.9869832100000007</v>
      </c>
      <c r="V36" s="68">
        <v>1.3352636985448776</v>
      </c>
      <c r="W36" s="68">
        <v>1.1703431433333338</v>
      </c>
      <c r="X36" s="13">
        <v>0.75277631275794699</v>
      </c>
    </row>
    <row r="37" spans="1:24" ht="15.75" x14ac:dyDescent="0.25">
      <c r="A37">
        <f t="shared" si="0"/>
        <v>0.05</v>
      </c>
      <c r="B37" s="65">
        <v>1.4999999999999999E-2</v>
      </c>
      <c r="C37" s="65">
        <v>2.2430708700000017</v>
      </c>
      <c r="D37" s="28">
        <v>2.5170489841709998</v>
      </c>
      <c r="E37" s="13">
        <v>1.9210219407909139</v>
      </c>
      <c r="F37" s="68">
        <v>0.58734478304347992</v>
      </c>
      <c r="G37" s="68">
        <v>0.29027189764733841</v>
      </c>
      <c r="H37" s="13">
        <v>1.045659961887913</v>
      </c>
      <c r="I37" s="1"/>
      <c r="J37" s="65">
        <v>0.24</v>
      </c>
      <c r="K37" s="65">
        <v>3.9483930600000017</v>
      </c>
      <c r="L37" s="68">
        <v>4.7329427956575669</v>
      </c>
      <c r="M37" s="13">
        <v>2.2041934550000009</v>
      </c>
      <c r="N37" s="68">
        <v>2.2926669730434801</v>
      </c>
      <c r="O37" s="68">
        <v>2.5061657091339056</v>
      </c>
      <c r="P37" s="13">
        <v>0.96998655775794718</v>
      </c>
      <c r="Q37" s="1"/>
      <c r="R37" s="65">
        <v>0.24</v>
      </c>
      <c r="S37" s="65">
        <v>3.40157278</v>
      </c>
      <c r="T37" s="68">
        <v>3.9013414200000001</v>
      </c>
      <c r="U37" s="13">
        <v>2.185230686666666</v>
      </c>
      <c r="V37" s="68">
        <v>1.7458466930434782</v>
      </c>
      <c r="W37" s="68">
        <v>1.3435434099999999</v>
      </c>
      <c r="X37" s="13">
        <v>0.9510237894246123</v>
      </c>
    </row>
    <row r="38" spans="1:24" ht="15.75" x14ac:dyDescent="0.25">
      <c r="A38">
        <f t="shared" si="0"/>
        <v>1</v>
      </c>
      <c r="B38" s="65">
        <v>0.3</v>
      </c>
      <c r="C38" s="65">
        <v>7.0379638364293298</v>
      </c>
      <c r="D38" s="28">
        <v>9.4397710763563794</v>
      </c>
      <c r="E38" s="13">
        <v>5.4812846500000001</v>
      </c>
      <c r="F38" s="68">
        <v>5.3822377494728082</v>
      </c>
      <c r="G38" s="68">
        <v>7.212993989832718</v>
      </c>
      <c r="H38" s="13">
        <v>4.6059226710969989</v>
      </c>
      <c r="I38" s="1"/>
      <c r="J38" s="65">
        <v>0.3</v>
      </c>
      <c r="K38" s="65">
        <v>4.4891800000000002</v>
      </c>
      <c r="L38" s="68">
        <v>5.1344230499999997</v>
      </c>
      <c r="M38" s="13">
        <v>2.6626787999999975</v>
      </c>
      <c r="N38" s="68">
        <v>2.8334539130434786</v>
      </c>
      <c r="O38" s="68">
        <v>2.9076459634763383</v>
      </c>
      <c r="P38" s="13">
        <v>1.4284719027579438</v>
      </c>
      <c r="Q38" s="1"/>
      <c r="R38" s="65">
        <v>0.3</v>
      </c>
      <c r="S38" s="37"/>
      <c r="T38" s="68">
        <v>4.8420498324999999</v>
      </c>
      <c r="U38" s="13">
        <v>2.576592684756934</v>
      </c>
      <c r="W38" s="68">
        <v>1.9258018002690152</v>
      </c>
      <c r="X38" s="13">
        <v>1.3423857875148804</v>
      </c>
    </row>
    <row r="39" spans="1:24" ht="15.75" x14ac:dyDescent="0.25">
      <c r="A39">
        <f t="shared" si="0"/>
        <v>0.25</v>
      </c>
      <c r="B39" s="65">
        <v>7.4999999999999997E-2</v>
      </c>
      <c r="C39" s="65">
        <v>2.82</v>
      </c>
      <c r="D39" s="28">
        <v>3.8195140009828683</v>
      </c>
      <c r="E39" s="13">
        <v>4.9712870104308973</v>
      </c>
      <c r="F39" s="68">
        <v>1.164273913043478</v>
      </c>
      <c r="G39" s="68">
        <v>1.592736914459207</v>
      </c>
      <c r="H39" s="13">
        <v>4.0959250315278961</v>
      </c>
      <c r="I39" s="1"/>
      <c r="J39" s="65">
        <v>0.44999999999999996</v>
      </c>
      <c r="K39" s="65">
        <v>6.0325202944999985</v>
      </c>
      <c r="L39" s="68">
        <v>7.1949516599999992</v>
      </c>
      <c r="M39" s="13">
        <v>2.9894658700000005</v>
      </c>
      <c r="N39" s="68">
        <v>4.3767942075434769</v>
      </c>
      <c r="O39" s="68">
        <v>4.9681745734763378</v>
      </c>
      <c r="P39" s="13">
        <v>1.7552589727579468</v>
      </c>
      <c r="Q39" s="1"/>
      <c r="R39" s="65">
        <v>0.39</v>
      </c>
      <c r="S39" s="65">
        <v>3.8462548700000001</v>
      </c>
      <c r="T39" s="68">
        <v>5.3746329533333297</v>
      </c>
      <c r="U39" s="13">
        <v>2.7514605779999983</v>
      </c>
      <c r="V39" s="68">
        <v>2.1905287830434785</v>
      </c>
      <c r="W39" s="68">
        <v>2.3027498324999991</v>
      </c>
      <c r="X39" s="13">
        <v>1.5172536807579446</v>
      </c>
    </row>
    <row r="40" spans="1:24" ht="15.75" x14ac:dyDescent="0.25">
      <c r="A40">
        <f t="shared" si="0"/>
        <v>0.8</v>
      </c>
      <c r="B40" s="65">
        <v>0.24</v>
      </c>
      <c r="C40" s="65">
        <v>6.1778957249999999</v>
      </c>
      <c r="D40" s="28">
        <v>7.4599148866666667</v>
      </c>
      <c r="E40" s="13">
        <v>1.4480562663830678</v>
      </c>
      <c r="F40" s="68">
        <v>4.5221696380434784</v>
      </c>
      <c r="G40" s="68">
        <v>5.2331378001430053</v>
      </c>
      <c r="H40" s="13">
        <v>0.5726942874800669</v>
      </c>
      <c r="I40" s="1"/>
      <c r="J40" s="65">
        <v>0.375</v>
      </c>
      <c r="K40" s="65">
        <v>5.7348228000000008</v>
      </c>
      <c r="L40" s="68">
        <v>6.4971949295</v>
      </c>
      <c r="M40" s="13">
        <v>3.9402145889999987</v>
      </c>
      <c r="N40" s="68">
        <v>4.0790967130434792</v>
      </c>
      <c r="O40" s="68">
        <v>4.2704178429763386</v>
      </c>
      <c r="P40" s="13">
        <v>2.7060076917579448</v>
      </c>
      <c r="Q40" s="1"/>
      <c r="R40" s="18">
        <v>0.54</v>
      </c>
      <c r="S40" s="78">
        <v>4.8454418523333302</v>
      </c>
      <c r="T40" s="14"/>
      <c r="U40" s="15"/>
      <c r="V40" s="78">
        <v>3.1897157653768087</v>
      </c>
      <c r="W40" s="121">
        <v>3.4309681500000009</v>
      </c>
      <c r="X40" s="15"/>
    </row>
    <row r="41" spans="1:24" ht="15.75" x14ac:dyDescent="0.25">
      <c r="A41">
        <f t="shared" si="0"/>
        <v>0</v>
      </c>
      <c r="B41" s="65"/>
      <c r="C41" s="65"/>
      <c r="D41" s="68"/>
      <c r="E41" s="13"/>
      <c r="F41" s="68"/>
      <c r="G41" s="68"/>
      <c r="H41" s="13"/>
      <c r="I41" s="1"/>
      <c r="J41" s="65"/>
      <c r="K41" s="65"/>
      <c r="L41" s="68"/>
      <c r="M41" s="13"/>
      <c r="N41" s="68"/>
      <c r="O41" s="68"/>
      <c r="P41" s="13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>
        <f t="shared" si="0"/>
        <v>0</v>
      </c>
      <c r="B42" s="56"/>
      <c r="C42" s="56"/>
      <c r="D42" s="12"/>
      <c r="E42" s="13"/>
      <c r="F42" s="12"/>
      <c r="G42" s="12"/>
      <c r="H42" s="13"/>
      <c r="I42" s="1"/>
      <c r="J42" s="78"/>
      <c r="K42" s="78"/>
      <c r="L42" s="82"/>
      <c r="M42" s="15"/>
      <c r="N42" s="82"/>
      <c r="O42" s="82"/>
      <c r="P42" s="15"/>
      <c r="Q42" s="1"/>
      <c r="R42" s="1"/>
      <c r="S42" s="1"/>
      <c r="T42" s="1"/>
      <c r="U42" s="1"/>
      <c r="V42" s="1"/>
      <c r="W42" s="1"/>
      <c r="X42" s="1"/>
    </row>
    <row r="43" spans="1:24" ht="15.75" x14ac:dyDescent="0.25">
      <c r="B43" s="18"/>
      <c r="C43" s="18"/>
      <c r="D43" s="14"/>
      <c r="E43" s="15"/>
      <c r="F43" s="14"/>
      <c r="G43" s="14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</sheetData>
  <mergeCells count="7">
    <mergeCell ref="C18:E18"/>
    <mergeCell ref="V32:X32"/>
    <mergeCell ref="C32:E32"/>
    <mergeCell ref="F32:H32"/>
    <mergeCell ref="K32:M32"/>
    <mergeCell ref="N32:P32"/>
    <mergeCell ref="S32:U32"/>
  </mergeCells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topLeftCell="A31" workbookViewId="0">
      <selection activeCell="N52" sqref="N52"/>
    </sheetView>
  </sheetViews>
  <sheetFormatPr defaultRowHeight="14.25" x14ac:dyDescent="0.15"/>
  <sheetData>
    <row r="2" spans="4:12" x14ac:dyDescent="0.15"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</row>
    <row r="3" spans="4:12" x14ac:dyDescent="0.15">
      <c r="E3" t="s">
        <v>34</v>
      </c>
      <c r="F3" t="s">
        <v>34</v>
      </c>
    </row>
    <row r="5" spans="4:12" x14ac:dyDescent="0.15">
      <c r="D5">
        <v>0</v>
      </c>
      <c r="E5">
        <v>22.883602849999999</v>
      </c>
      <c r="F5">
        <v>22.883600000000001</v>
      </c>
      <c r="G5">
        <v>22.883600000000001</v>
      </c>
      <c r="H5">
        <v>22.883600000000001</v>
      </c>
      <c r="I5">
        <v>22.883602849999999</v>
      </c>
      <c r="J5">
        <v>22.883600000000001</v>
      </c>
      <c r="K5">
        <v>22.883602849999999</v>
      </c>
      <c r="L5">
        <v>22.883602849999999</v>
      </c>
    </row>
    <row r="6" spans="4:12" x14ac:dyDescent="0.15">
      <c r="D6">
        <v>5</v>
      </c>
      <c r="E6">
        <v>23.21161468</v>
      </c>
      <c r="F6">
        <v>23.119065481010995</v>
      </c>
      <c r="G6">
        <v>22.893472019879354</v>
      </c>
      <c r="H6">
        <v>22.883472019879353</v>
      </c>
      <c r="I6">
        <v>24.312531161403292</v>
      </c>
      <c r="J6">
        <v>23.836156786093486</v>
      </c>
      <c r="K6">
        <v>22.886210553364357</v>
      </c>
      <c r="L6">
        <v>23.94414034087675</v>
      </c>
    </row>
    <row r="7" spans="4:12" x14ac:dyDescent="0.15">
      <c r="D7">
        <v>10</v>
      </c>
      <c r="E7">
        <v>23.569428835477169</v>
      </c>
      <c r="F7">
        <v>23.088776514695677</v>
      </c>
      <c r="G7">
        <v>22.891888771408144</v>
      </c>
      <c r="H7">
        <v>22.791888771408143</v>
      </c>
      <c r="I7">
        <v>25.164411971180144</v>
      </c>
      <c r="J7">
        <v>24.171060403887033</v>
      </c>
      <c r="K7">
        <v>22.936036314076134</v>
      </c>
      <c r="L7">
        <v>25.845791151216851</v>
      </c>
    </row>
    <row r="8" spans="4:12" x14ac:dyDescent="0.15">
      <c r="D8">
        <v>15</v>
      </c>
      <c r="E8">
        <v>23.566355470797745</v>
      </c>
      <c r="F8">
        <v>23.08873148338386</v>
      </c>
      <c r="G8">
        <v>22.896079723243716</v>
      </c>
      <c r="H8">
        <v>22.896079723243716</v>
      </c>
      <c r="I8">
        <v>25.340338816011052</v>
      </c>
      <c r="J8">
        <v>24.411434774722728</v>
      </c>
      <c r="K8">
        <v>22.880343220794554</v>
      </c>
      <c r="L8">
        <v>26.877362988378149</v>
      </c>
    </row>
    <row r="9" spans="4:12" x14ac:dyDescent="0.15">
      <c r="D9">
        <v>20</v>
      </c>
      <c r="E9">
        <v>23.739581479999998</v>
      </c>
      <c r="F9">
        <v>23.223959529278268</v>
      </c>
      <c r="G9">
        <v>22.8827618096329</v>
      </c>
      <c r="H9">
        <v>22.922761809632899</v>
      </c>
      <c r="I9">
        <v>25.674404243437468</v>
      </c>
      <c r="J9">
        <v>24.519561332080414</v>
      </c>
      <c r="K9">
        <v>22.874662152750773</v>
      </c>
      <c r="L9">
        <v>27.586489950805298</v>
      </c>
    </row>
    <row r="10" spans="4:12" x14ac:dyDescent="0.15">
      <c r="D10">
        <v>25</v>
      </c>
      <c r="E10">
        <v>23.733714147431495</v>
      </c>
      <c r="F10">
        <v>23.385147426077584</v>
      </c>
      <c r="G10">
        <v>22.889467332569804</v>
      </c>
      <c r="H10">
        <v>22.909467332569804</v>
      </c>
      <c r="I10">
        <v>25.677198211327848</v>
      </c>
      <c r="J10">
        <v>24.574229970468842</v>
      </c>
      <c r="K10">
        <v>23.18600330800211</v>
      </c>
      <c r="L10">
        <v>28.095616913232448</v>
      </c>
    </row>
    <row r="11" spans="4:12" x14ac:dyDescent="0.15">
      <c r="D11">
        <v>30</v>
      </c>
      <c r="E11">
        <v>23.736880644373944</v>
      </c>
      <c r="F11">
        <v>23.359980734227936</v>
      </c>
      <c r="G11">
        <v>22.888815406728721</v>
      </c>
      <c r="H11">
        <v>22.941815406728718</v>
      </c>
      <c r="I11">
        <v>26.020483732792535</v>
      </c>
      <c r="J11">
        <v>24.515836041559908</v>
      </c>
      <c r="K11">
        <v>22.871961317123414</v>
      </c>
      <c r="L11">
        <v>28.704743875659599</v>
      </c>
    </row>
    <row r="12" spans="4:12" x14ac:dyDescent="0.15">
      <c r="D12">
        <v>35</v>
      </c>
      <c r="E12">
        <v>23.736414983058879</v>
      </c>
      <c r="F12">
        <v>23.353182079028034</v>
      </c>
      <c r="G12">
        <v>22.890398655199931</v>
      </c>
      <c r="H12">
        <v>22.920398655199929</v>
      </c>
      <c r="I12">
        <v>26.02616480083632</v>
      </c>
      <c r="J12">
        <v>24.665406455958255</v>
      </c>
      <c r="K12">
        <v>23.218785864582561</v>
      </c>
      <c r="L12">
        <v>28.713870838086748</v>
      </c>
    </row>
    <row r="13" spans="4:12" x14ac:dyDescent="0.15">
      <c r="D13">
        <v>40</v>
      </c>
      <c r="E13">
        <v>23.745076283519037</v>
      </c>
      <c r="F13">
        <v>23.256907369548539</v>
      </c>
      <c r="G13">
        <v>22.890305522936934</v>
      </c>
      <c r="H13">
        <v>22.941305522936933</v>
      </c>
      <c r="I13">
        <v>26.363769254257221</v>
      </c>
      <c r="J13">
        <v>24.525335532387192</v>
      </c>
      <c r="K13">
        <v>22.897386424925877</v>
      </c>
      <c r="L13">
        <v>28.722997800513898</v>
      </c>
    </row>
    <row r="14" spans="4:12" x14ac:dyDescent="0.15">
      <c r="D14">
        <v>45</v>
      </c>
      <c r="E14">
        <v>23.870991103112178</v>
      </c>
      <c r="F14">
        <v>23.455510385603347</v>
      </c>
      <c r="G14">
        <v>22.888536009939678</v>
      </c>
      <c r="H14">
        <v>22.899536009939677</v>
      </c>
      <c r="I14">
        <v>26.359764566947671</v>
      </c>
      <c r="J14">
        <v>24.519561332080414</v>
      </c>
      <c r="K14">
        <v>23.212732267486739</v>
      </c>
      <c r="L14">
        <v>28.732124762941048</v>
      </c>
    </row>
    <row r="15" spans="4:12" x14ac:dyDescent="0.15">
      <c r="D15">
        <v>50</v>
      </c>
      <c r="E15">
        <v>24.07094607180036</v>
      </c>
      <c r="F15">
        <v>23.504963617263055</v>
      </c>
      <c r="G15">
        <v>22.893472019879354</v>
      </c>
      <c r="H15">
        <v>22.893472019879354</v>
      </c>
      <c r="I15">
        <v>26.369822851353046</v>
      </c>
      <c r="J15">
        <v>24.599841342797323</v>
      </c>
      <c r="K15">
        <v>22.877269856115131</v>
      </c>
      <c r="L15">
        <v>28.741251725368198</v>
      </c>
    </row>
    <row r="16" spans="4:12" x14ac:dyDescent="0.15">
      <c r="D16">
        <v>55</v>
      </c>
      <c r="E16">
        <v>24.079141710945478</v>
      </c>
      <c r="F16">
        <v>23.447152532407799</v>
      </c>
      <c r="G16">
        <v>22.890212390673913</v>
      </c>
      <c r="H16">
        <v>22.890212390673913</v>
      </c>
      <c r="I16">
        <v>26.366283825358558</v>
      </c>
      <c r="J16">
        <v>24.858562769446507</v>
      </c>
      <c r="K16">
        <v>23.210403960911421</v>
      </c>
      <c r="L16">
        <v>28.750378687795347</v>
      </c>
    </row>
    <row r="17" spans="2:12" x14ac:dyDescent="0.15">
      <c r="D17">
        <v>60</v>
      </c>
      <c r="E17">
        <v>24.070852939537335</v>
      </c>
      <c r="F17">
        <v>23.668329631825081</v>
      </c>
      <c r="G17">
        <v>22.886580232416428</v>
      </c>
      <c r="H17">
        <v>22.886580232416428</v>
      </c>
      <c r="I17">
        <v>26.365166238202413</v>
      </c>
      <c r="J17">
        <v>24.733858669272561</v>
      </c>
      <c r="K17">
        <v>23.206864934916961</v>
      </c>
      <c r="L17">
        <v>28.759505650222497</v>
      </c>
    </row>
    <row r="18" spans="2:12" x14ac:dyDescent="0.15">
      <c r="D18">
        <v>65</v>
      </c>
      <c r="E18">
        <v>24.069828484644212</v>
      </c>
      <c r="F18">
        <v>23.401403610432368</v>
      </c>
      <c r="G18">
        <v>22.891981903671141</v>
      </c>
      <c r="H18">
        <v>22.891981903671141</v>
      </c>
      <c r="I18">
        <v>26.526564450003363</v>
      </c>
      <c r="J18">
        <v>24.857631446816381</v>
      </c>
      <c r="K18">
        <v>23.134314902030081</v>
      </c>
      <c r="L18">
        <v>28.768632612649647</v>
      </c>
    </row>
    <row r="19" spans="2:12" x14ac:dyDescent="0.15">
      <c r="D19">
        <v>70</v>
      </c>
      <c r="E19">
        <v>24.081470017520797</v>
      </c>
      <c r="F19">
        <v>23.402521197588516</v>
      </c>
      <c r="G19">
        <v>22.890491787462956</v>
      </c>
      <c r="H19">
        <v>22.890491787462956</v>
      </c>
      <c r="I19">
        <v>26.703329485201376</v>
      </c>
      <c r="J19">
        <v>24.852509172350683</v>
      </c>
      <c r="K19">
        <v>23.220834774368861</v>
      </c>
      <c r="L19">
        <v>28.777759575076796</v>
      </c>
    </row>
    <row r="20" spans="2:12" x14ac:dyDescent="0.15">
      <c r="D20">
        <v>75</v>
      </c>
      <c r="E20">
        <v>24.074298833268799</v>
      </c>
      <c r="F20">
        <v>23.408202265632298</v>
      </c>
      <c r="G20">
        <v>22.971784841763089</v>
      </c>
      <c r="H20">
        <v>22.962784841763089</v>
      </c>
      <c r="I20">
        <v>26.671943912566114</v>
      </c>
      <c r="J20">
        <v>24.851484717457559</v>
      </c>
      <c r="K20">
        <v>23.219810319475712</v>
      </c>
      <c r="L20">
        <v>28.786886537503946</v>
      </c>
    </row>
    <row r="21" spans="2:12" x14ac:dyDescent="0.15">
      <c r="D21">
        <v>80</v>
      </c>
      <c r="E21">
        <v>24.230015977025992</v>
      </c>
      <c r="F21">
        <v>23.405780826793958</v>
      </c>
      <c r="G21">
        <v>22.928489750772126</v>
      </c>
      <c r="H21">
        <v>22.928489750772126</v>
      </c>
      <c r="I21">
        <v>26.697927813946663</v>
      </c>
      <c r="J21">
        <v>24.846455575254861</v>
      </c>
      <c r="K21">
        <v>23.214222383694953</v>
      </c>
      <c r="L21">
        <v>28.796013499931096</v>
      </c>
    </row>
    <row r="22" spans="2:12" x14ac:dyDescent="0.15">
      <c r="D22">
        <v>85</v>
      </c>
      <c r="E22">
        <v>24.074857626846885</v>
      </c>
      <c r="F22">
        <v>23.50571174500655</v>
      </c>
      <c r="G22">
        <v>23.056756927416188</v>
      </c>
      <c r="H22">
        <v>22.856756927416185</v>
      </c>
      <c r="I22">
        <v>26.706123453091756</v>
      </c>
      <c r="J22">
        <v>24.850553394827433</v>
      </c>
      <c r="K22">
        <v>23.206306141338874</v>
      </c>
      <c r="L22">
        <v>28.805140462358246</v>
      </c>
    </row>
    <row r="23" spans="2:12" x14ac:dyDescent="0.15">
      <c r="D23">
        <v>90</v>
      </c>
      <c r="E23">
        <v>24.135021068753076</v>
      </c>
      <c r="F23">
        <v>23.728111589080797</v>
      </c>
      <c r="G23">
        <v>22.933497912138588</v>
      </c>
      <c r="H23">
        <v>22.833497912138586</v>
      </c>
      <c r="I23">
        <v>26.704540204620546</v>
      </c>
      <c r="J23">
        <v>24.856327595134214</v>
      </c>
      <c r="K23">
        <v>23.205654215497791</v>
      </c>
      <c r="L23">
        <v>28.814267424785395</v>
      </c>
    </row>
    <row r="24" spans="2:12" x14ac:dyDescent="0.15">
      <c r="D24">
        <v>95</v>
      </c>
      <c r="E24">
        <v>24.139957078692753</v>
      </c>
      <c r="F24">
        <v>23.680148473629274</v>
      </c>
      <c r="G24">
        <v>22.893192623090311</v>
      </c>
      <c r="H24">
        <v>22.893192623090311</v>
      </c>
      <c r="I24">
        <v>26.703050088412358</v>
      </c>
      <c r="J24">
        <v>24.855303140241062</v>
      </c>
      <c r="K24">
        <v>23.20798252207311</v>
      </c>
      <c r="L24">
        <v>28.823394387212545</v>
      </c>
    </row>
    <row r="25" spans="2:12" x14ac:dyDescent="0.15">
      <c r="D25">
        <v>100</v>
      </c>
      <c r="E25">
        <v>24.37595423316683</v>
      </c>
      <c r="F25">
        <v>23.740032518746421</v>
      </c>
      <c r="G25">
        <v>22.942904270702886</v>
      </c>
      <c r="H25">
        <v>22.942904270702886</v>
      </c>
      <c r="I25">
        <v>26.696344565475425</v>
      </c>
      <c r="J25">
        <v>24.861356737336887</v>
      </c>
      <c r="K25">
        <v>23.218785864582561</v>
      </c>
      <c r="L25">
        <v>28.832521349639695</v>
      </c>
    </row>
    <row r="26" spans="2:12" x14ac:dyDescent="0.15">
      <c r="D26">
        <v>105</v>
      </c>
      <c r="E26">
        <v>24.411437625374667</v>
      </c>
      <c r="F26">
        <v>23.73155748281226</v>
      </c>
      <c r="G26">
        <v>22.899059955660114</v>
      </c>
      <c r="H26">
        <v>22.899059955660114</v>
      </c>
      <c r="I26">
        <v>26.701559972204144</v>
      </c>
      <c r="J26">
        <v>24.861915530914974</v>
      </c>
      <c r="K26">
        <v>23.215991896692181</v>
      </c>
      <c r="L26">
        <v>28.841648312066845</v>
      </c>
    </row>
    <row r="27" spans="2:12" x14ac:dyDescent="0.15">
      <c r="D27">
        <v>110</v>
      </c>
      <c r="E27">
        <v>24.414324725528044</v>
      </c>
      <c r="F27">
        <v>23.736400360488911</v>
      </c>
      <c r="G27">
        <v>22.967419036711398</v>
      </c>
      <c r="H27">
        <v>22.967419036711398</v>
      </c>
      <c r="I27">
        <v>26.700628649574018</v>
      </c>
      <c r="J27">
        <v>24.854558082136958</v>
      </c>
      <c r="K27">
        <v>23.02544328656829</v>
      </c>
      <c r="L27">
        <v>28.850775274493994</v>
      </c>
    </row>
    <row r="28" spans="2:12" x14ac:dyDescent="0.15">
      <c r="D28">
        <v>115</v>
      </c>
      <c r="E28">
        <v>24.405942821856904</v>
      </c>
      <c r="F28">
        <v>23.74031191553544</v>
      </c>
      <c r="G28">
        <v>22.953845776787187</v>
      </c>
      <c r="H28">
        <v>22.953845776787187</v>
      </c>
      <c r="I28">
        <v>26.695878904160363</v>
      </c>
      <c r="J28">
        <v>24.853347362717813</v>
      </c>
      <c r="K28">
        <v>23.20556108323477</v>
      </c>
      <c r="L28">
        <v>28.859902236921144</v>
      </c>
    </row>
    <row r="29" spans="2:12" x14ac:dyDescent="0.15">
      <c r="D29">
        <v>120</v>
      </c>
      <c r="E29">
        <v>24.416001106262275</v>
      </c>
      <c r="F29">
        <v>23.729600000000001</v>
      </c>
      <c r="G29">
        <v>23.016896318846687</v>
      </c>
      <c r="H29">
        <v>22.916896318846685</v>
      </c>
      <c r="I29">
        <v>26.69681022679049</v>
      </c>
      <c r="J29">
        <v>24.857631446816381</v>
      </c>
      <c r="K29">
        <v>23.206958067179958</v>
      </c>
      <c r="L29">
        <v>28.869029199348294</v>
      </c>
    </row>
    <row r="32" spans="2:12" x14ac:dyDescent="0.15">
      <c r="B32" t="s">
        <v>6</v>
      </c>
      <c r="G32" t="s">
        <v>26</v>
      </c>
      <c r="L32" t="s">
        <v>27</v>
      </c>
    </row>
    <row r="33" spans="1:16" x14ac:dyDescent="0.15">
      <c r="B33" t="s">
        <v>95</v>
      </c>
      <c r="G33" t="s">
        <v>95</v>
      </c>
      <c r="L33" t="s">
        <v>95</v>
      </c>
    </row>
    <row r="34" spans="1:16" x14ac:dyDescent="0.15">
      <c r="A34" t="s">
        <v>96</v>
      </c>
      <c r="B34">
        <v>1</v>
      </c>
      <c r="C34">
        <v>2</v>
      </c>
      <c r="D34">
        <v>3</v>
      </c>
      <c r="E34" t="s">
        <v>10</v>
      </c>
      <c r="F34" t="s">
        <v>9</v>
      </c>
      <c r="G34">
        <v>1</v>
      </c>
      <c r="H34">
        <v>2</v>
      </c>
      <c r="I34">
        <v>3</v>
      </c>
      <c r="J34" t="s">
        <v>10</v>
      </c>
      <c r="K34" t="s">
        <v>9</v>
      </c>
      <c r="L34">
        <v>1</v>
      </c>
      <c r="M34">
        <v>2</v>
      </c>
      <c r="N34">
        <v>3</v>
      </c>
      <c r="P34" t="s">
        <v>9</v>
      </c>
    </row>
    <row r="35" spans="1:16" x14ac:dyDescent="0.15">
      <c r="A35">
        <v>0</v>
      </c>
      <c r="B35">
        <v>22.883600000000001</v>
      </c>
      <c r="C35">
        <v>22.883600000000001</v>
      </c>
      <c r="D35">
        <v>22.883600000000001</v>
      </c>
      <c r="E35">
        <f>_xlfn.STDEV.S(B35:D35)</f>
        <v>0</v>
      </c>
      <c r="F35">
        <f>AVERAGE(B35:D35)</f>
        <v>22.883600000000001</v>
      </c>
      <c r="G35">
        <v>22.883600000000001</v>
      </c>
      <c r="H35">
        <v>22.883600000000001</v>
      </c>
      <c r="I35">
        <v>22.883600000000001</v>
      </c>
      <c r="J35">
        <f>_xlfn.STDEV.S(G35:I35)</f>
        <v>0</v>
      </c>
      <c r="K35">
        <f>AVERAGE(G35:I35)</f>
        <v>22.883600000000001</v>
      </c>
      <c r="L35">
        <v>22.883600000000001</v>
      </c>
      <c r="M35">
        <v>22.883600000000001</v>
      </c>
      <c r="N35">
        <v>22.883600000000001</v>
      </c>
      <c r="O35">
        <f>_xlfn.STDEV.S(L35:N35)</f>
        <v>0</v>
      </c>
      <c r="P35">
        <f>AVERAGE(L35:N35)</f>
        <v>22.883600000000001</v>
      </c>
    </row>
    <row r="36" spans="1:16" x14ac:dyDescent="0.15">
      <c r="A36">
        <v>5</v>
      </c>
      <c r="B36">
        <f>B35+3.578491</f>
        <v>26.462091000000001</v>
      </c>
      <c r="C36">
        <v>27.078091000000001</v>
      </c>
      <c r="D36">
        <v>26.197620910000001</v>
      </c>
      <c r="E36">
        <f t="shared" ref="E36:E41" si="0">_xlfn.STDEV.S(B36:D36)</f>
        <v>0.45177944616984922</v>
      </c>
      <c r="F36">
        <f t="shared" ref="F36:F41" si="1">AVERAGE(B36:D36)</f>
        <v>26.579267636666668</v>
      </c>
      <c r="G36">
        <f>G35+2.3749</f>
        <v>25.258500000000002</v>
      </c>
      <c r="H36">
        <v>25.697452585000001</v>
      </c>
      <c r="I36">
        <v>25.230525849999999</v>
      </c>
      <c r="J36">
        <f t="shared" ref="J36:J41" si="2">_xlfn.STDEV.S(G36:I36)</f>
        <v>0.26187862990456906</v>
      </c>
      <c r="K36">
        <f t="shared" ref="K36:K41" si="3">AVERAGE(G36:I36)</f>
        <v>25.395492811666667</v>
      </c>
      <c r="L36">
        <f>L35+1.779481</f>
        <v>24.663081000000002</v>
      </c>
      <c r="M36">
        <v>24.487663081000001</v>
      </c>
      <c r="N36">
        <v>24.663081000000002</v>
      </c>
      <c r="O36">
        <f t="shared" ref="O36:O41" si="4">_xlfn.STDEV.S(L36:N36)</f>
        <v>0.10127758275533449</v>
      </c>
      <c r="P36">
        <f t="shared" ref="P36:P41" si="5">AVERAGE(L36:N36)</f>
        <v>24.604608360333334</v>
      </c>
    </row>
    <row r="37" spans="1:16" x14ac:dyDescent="0.15">
      <c r="A37">
        <v>10</v>
      </c>
      <c r="B37">
        <f>B35+4.849</f>
        <v>27.732600000000001</v>
      </c>
      <c r="C37">
        <v>27.918154000000001</v>
      </c>
      <c r="D37">
        <v>28.302878939999999</v>
      </c>
      <c r="E37">
        <f t="shared" si="0"/>
        <v>0.29087844992411155</v>
      </c>
      <c r="F37">
        <f t="shared" si="1"/>
        <v>27.984544313333334</v>
      </c>
      <c r="G37">
        <f>G35+3.278415</f>
        <v>26.162015</v>
      </c>
      <c r="H37">
        <v>26.389716201500001</v>
      </c>
      <c r="I37">
        <v>25.6980162015</v>
      </c>
      <c r="J37">
        <f t="shared" si="2"/>
        <v>0.35251279224400472</v>
      </c>
      <c r="K37">
        <f t="shared" si="3"/>
        <v>26.083249134333332</v>
      </c>
      <c r="L37">
        <f>L35+2.457941</f>
        <v>25.341540999999999</v>
      </c>
      <c r="M37">
        <v>25.087941000000001</v>
      </c>
      <c r="N37">
        <v>25.468941000000001</v>
      </c>
      <c r="O37">
        <f t="shared" si="4"/>
        <v>0.19395219342233105</v>
      </c>
      <c r="P37">
        <f t="shared" si="5"/>
        <v>25.299474333333336</v>
      </c>
    </row>
    <row r="38" spans="1:16" x14ac:dyDescent="0.15">
      <c r="A38">
        <v>15</v>
      </c>
      <c r="B38">
        <f>B35+5.638712</f>
        <v>28.522311999999999</v>
      </c>
      <c r="C38">
        <v>28.038422312000002</v>
      </c>
      <c r="D38">
        <v>28.702422311999999</v>
      </c>
      <c r="E38">
        <f t="shared" si="0"/>
        <v>0.34338631176404172</v>
      </c>
      <c r="F38">
        <f t="shared" si="1"/>
        <v>28.421052208000003</v>
      </c>
      <c r="G38">
        <f>G35+4.487402</f>
        <v>27.371002000000001</v>
      </c>
      <c r="H38">
        <v>27.026783710019998</v>
      </c>
      <c r="I38">
        <v>27.6921371002</v>
      </c>
      <c r="J38">
        <f t="shared" si="2"/>
        <v>0.33274342406756446</v>
      </c>
      <c r="K38">
        <f t="shared" si="3"/>
        <v>27.363307603406668</v>
      </c>
      <c r="L38">
        <f>L35+3.287491</f>
        <v>26.171091000000001</v>
      </c>
      <c r="M38">
        <v>26.389709100000001</v>
      </c>
      <c r="N38">
        <v>26.382591000000001</v>
      </c>
      <c r="O38">
        <f t="shared" si="4"/>
        <v>0.1242153982639435</v>
      </c>
      <c r="P38">
        <f t="shared" si="5"/>
        <v>26.314463700000001</v>
      </c>
    </row>
    <row r="39" spans="1:16" x14ac:dyDescent="0.15">
      <c r="A39">
        <v>20</v>
      </c>
      <c r="B39">
        <f>B35+6.3781034</f>
        <v>29.261703400000002</v>
      </c>
      <c r="C39">
        <v>29.4871327034</v>
      </c>
      <c r="D39">
        <v>29.083703400000001</v>
      </c>
      <c r="E39">
        <f t="shared" si="0"/>
        <v>0.20217878790533295</v>
      </c>
      <c r="F39">
        <f t="shared" si="1"/>
        <v>29.277513167799999</v>
      </c>
      <c r="G39">
        <f>G35+4.996724</f>
        <v>27.880324000000002</v>
      </c>
      <c r="H39">
        <v>27.400388032399999</v>
      </c>
      <c r="I39">
        <v>28.189418803239999</v>
      </c>
      <c r="J39">
        <f t="shared" si="2"/>
        <v>0.39758598393271877</v>
      </c>
      <c r="K39">
        <f t="shared" si="3"/>
        <v>27.823376945213337</v>
      </c>
      <c r="L39">
        <f>L35+3.87064</f>
        <v>26.754240000000003</v>
      </c>
      <c r="M39">
        <v>26.384159740000001</v>
      </c>
      <c r="N39">
        <v>26.932265399999999</v>
      </c>
      <c r="O39">
        <f t="shared" si="4"/>
        <v>0.27960455897894443</v>
      </c>
      <c r="P39">
        <f t="shared" si="5"/>
        <v>26.690221713333333</v>
      </c>
    </row>
    <row r="40" spans="1:16" x14ac:dyDescent="0.15">
      <c r="A40">
        <v>25</v>
      </c>
      <c r="B40">
        <f>B35+7.2817134</f>
        <v>30.165313400000002</v>
      </c>
      <c r="C40">
        <v>29.684313400000001</v>
      </c>
      <c r="D40">
        <v>29.896339999999999</v>
      </c>
      <c r="E40">
        <f t="shared" si="0"/>
        <v>0.24106118483873298</v>
      </c>
      <c r="F40">
        <f t="shared" si="1"/>
        <v>29.915322266666667</v>
      </c>
      <c r="G40">
        <f>G35+5.6078461</f>
        <v>28.491446100000001</v>
      </c>
      <c r="H40">
        <v>28.234914460999999</v>
      </c>
      <c r="I40">
        <v>28.614914461000001</v>
      </c>
      <c r="J40">
        <f t="shared" si="2"/>
        <v>0.19384397418888891</v>
      </c>
      <c r="K40">
        <f t="shared" si="3"/>
        <v>28.447091674000003</v>
      </c>
      <c r="L40">
        <f>L35+4.0784197</f>
        <v>26.962019700000003</v>
      </c>
      <c r="M40">
        <v>27.302119699999999</v>
      </c>
      <c r="N40">
        <v>27.093596201970001</v>
      </c>
      <c r="O40">
        <f t="shared" si="4"/>
        <v>0.17149462338575161</v>
      </c>
      <c r="P40">
        <f t="shared" si="5"/>
        <v>27.119245200656668</v>
      </c>
    </row>
    <row r="41" spans="1:16" x14ac:dyDescent="0.15">
      <c r="A41">
        <v>30</v>
      </c>
      <c r="B41">
        <f>B35+7.78491</f>
        <v>30.668510000000001</v>
      </c>
      <c r="C41">
        <v>31.305851000000001</v>
      </c>
      <c r="D41">
        <v>30.537510000000001</v>
      </c>
      <c r="E41">
        <f t="shared" si="0"/>
        <v>0.4110378008898124</v>
      </c>
      <c r="F41">
        <f t="shared" si="1"/>
        <v>30.837290333333332</v>
      </c>
      <c r="G41">
        <f>G35+6.0987451</f>
        <v>28.982345100000003</v>
      </c>
      <c r="H41">
        <v>28.519823451000001</v>
      </c>
      <c r="I41">
        <v>29.269823451000001</v>
      </c>
      <c r="J41">
        <f t="shared" si="2"/>
        <v>0.3783891467099621</v>
      </c>
      <c r="K41">
        <f t="shared" si="3"/>
        <v>28.923997334000003</v>
      </c>
      <c r="L41">
        <f>L35+4.3819403</f>
        <v>27.265540300000001</v>
      </c>
      <c r="M41">
        <v>27.420626554030001</v>
      </c>
      <c r="N41">
        <v>27.433642655402998</v>
      </c>
      <c r="O41">
        <f t="shared" si="4"/>
        <v>9.3523229713304568E-2</v>
      </c>
      <c r="P41">
        <f t="shared" si="5"/>
        <v>27.373269836477665</v>
      </c>
    </row>
    <row r="42" spans="1:16" x14ac:dyDescent="0.15">
      <c r="A42" t="s">
        <v>97</v>
      </c>
      <c r="B42">
        <v>1</v>
      </c>
      <c r="C42">
        <v>2</v>
      </c>
      <c r="D42" t="s">
        <v>9</v>
      </c>
      <c r="E42" t="s">
        <v>10</v>
      </c>
    </row>
    <row r="43" spans="1:16" x14ac:dyDescent="0.15">
      <c r="B43">
        <v>22.883602849999999</v>
      </c>
      <c r="C43">
        <v>22.281130240571095</v>
      </c>
      <c r="D43">
        <v>22.582366545285545</v>
      </c>
      <c r="E43">
        <v>0.4260124676063326</v>
      </c>
    </row>
    <row r="44" spans="1:16" x14ac:dyDescent="0.15">
      <c r="B44">
        <v>22.877456120641181</v>
      </c>
      <c r="C44">
        <v>22.544135751318844</v>
      </c>
      <c r="D44">
        <v>22.710795935980013</v>
      </c>
      <c r="E44">
        <v>0.2356930934554288</v>
      </c>
    </row>
    <row r="45" spans="1:16" x14ac:dyDescent="0.15">
      <c r="B45">
        <v>22.877456120641181</v>
      </c>
      <c r="C45">
        <v>22.550189348414666</v>
      </c>
      <c r="D45">
        <v>22.713822734527923</v>
      </c>
      <c r="E45">
        <v>0.23141255389840235</v>
      </c>
    </row>
    <row r="46" spans="1:16" x14ac:dyDescent="0.15">
      <c r="B46">
        <v>22.956711676464941</v>
      </c>
      <c r="C46">
        <v>22.540782989850378</v>
      </c>
      <c r="D46">
        <v>22.74874733315766</v>
      </c>
      <c r="E46">
        <v>0.29410599479517224</v>
      </c>
    </row>
    <row r="47" spans="1:16" x14ac:dyDescent="0.15">
      <c r="B47">
        <v>22.880156956268536</v>
      </c>
      <c r="C47">
        <v>22.542459370584609</v>
      </c>
      <c r="D47">
        <v>22.711308163426573</v>
      </c>
      <c r="E47">
        <v>0.23878825282742966</v>
      </c>
    </row>
    <row r="48" spans="1:16" x14ac:dyDescent="0.15">
      <c r="B48">
        <v>22.875034681802841</v>
      </c>
      <c r="C48">
        <v>22.541993709269548</v>
      </c>
      <c r="D48">
        <v>22.708514195536196</v>
      </c>
      <c r="E48">
        <v>0.23549553009125454</v>
      </c>
    </row>
    <row r="49" spans="2:8" x14ac:dyDescent="0.15">
      <c r="B49">
        <v>22.874010226909689</v>
      </c>
      <c r="C49">
        <v>22.539106609116171</v>
      </c>
      <c r="D49">
        <v>22.706558418012932</v>
      </c>
      <c r="E49">
        <v>0.23681261918570448</v>
      </c>
    </row>
    <row r="53" spans="2:8" x14ac:dyDescent="0.15">
      <c r="C53" t="s">
        <v>122</v>
      </c>
      <c r="E53" t="s">
        <v>123</v>
      </c>
      <c r="G53" t="s">
        <v>124</v>
      </c>
    </row>
    <row r="54" spans="2:8" x14ac:dyDescent="0.15">
      <c r="C54" t="s">
        <v>9</v>
      </c>
      <c r="D54" t="s">
        <v>10</v>
      </c>
      <c r="E54" t="s">
        <v>9</v>
      </c>
      <c r="F54" t="s">
        <v>10</v>
      </c>
      <c r="G54" t="s">
        <v>9</v>
      </c>
      <c r="H54" t="s">
        <v>10</v>
      </c>
    </row>
    <row r="55" spans="2:8" x14ac:dyDescent="0.15">
      <c r="C55">
        <v>22.8</v>
      </c>
      <c r="D55">
        <v>0.12584899999999999</v>
      </c>
      <c r="E55">
        <v>22.8</v>
      </c>
      <c r="F55">
        <v>0.102587</v>
      </c>
      <c r="G55">
        <v>22.8</v>
      </c>
      <c r="H55">
        <v>0.12598000000000001</v>
      </c>
    </row>
    <row r="56" spans="2:8" x14ac:dyDescent="0.15">
      <c r="C56">
        <v>22.805122274465695</v>
      </c>
      <c r="D56">
        <v>0.16794999999999999</v>
      </c>
      <c r="E56">
        <v>22.801210719419171</v>
      </c>
      <c r="F56">
        <v>0.15987399999999999</v>
      </c>
      <c r="G56">
        <v>24.673914264077776</v>
      </c>
      <c r="H56">
        <v>0.18956100000000001</v>
      </c>
    </row>
    <row r="57" spans="2:8" x14ac:dyDescent="0.15">
      <c r="C57">
        <v>22.802793967890381</v>
      </c>
      <c r="D57">
        <v>0.15987456</v>
      </c>
      <c r="E57">
        <v>22.810710210246455</v>
      </c>
      <c r="F57">
        <v>0.11365289000000001</v>
      </c>
      <c r="G57">
        <v>24.937199171614569</v>
      </c>
      <c r="H57">
        <v>0.15264478100000001</v>
      </c>
    </row>
    <row r="58" spans="2:8" x14ac:dyDescent="0.15">
      <c r="C58">
        <v>22.805308538991717</v>
      </c>
      <c r="D58">
        <v>0.21584900000000001</v>
      </c>
      <c r="E58">
        <v>23.041305693465819</v>
      </c>
      <c r="F58">
        <v>0.102336524</v>
      </c>
      <c r="G58">
        <v>25.019062430802688</v>
      </c>
      <c r="H58">
        <v>0.125614</v>
      </c>
    </row>
    <row r="59" spans="2:8" x14ac:dyDescent="0.15">
      <c r="C59">
        <v>22.882328920503184</v>
      </c>
      <c r="D59">
        <v>0.19784199999999999</v>
      </c>
      <c r="E59">
        <v>23.123262084916963</v>
      </c>
      <c r="F59">
        <v>0.115468</v>
      </c>
      <c r="G59">
        <v>25.014405817652055</v>
      </c>
      <c r="H59">
        <v>0.13652086999999999</v>
      </c>
    </row>
    <row r="60" spans="2:8" x14ac:dyDescent="0.15">
      <c r="C60">
        <v>22.85513429970349</v>
      </c>
      <c r="D60">
        <v>0.135628</v>
      </c>
      <c r="E60">
        <v>23.150549837979653</v>
      </c>
      <c r="F60">
        <v>0.169854</v>
      </c>
      <c r="G60">
        <v>25.017572314594503</v>
      </c>
      <c r="H60">
        <v>0.159243</v>
      </c>
    </row>
    <row r="61" spans="2:8" x14ac:dyDescent="0.15">
      <c r="C61">
        <v>22.8</v>
      </c>
      <c r="D61">
        <v>0.16623874</v>
      </c>
      <c r="E61">
        <v>23.150829234768697</v>
      </c>
      <c r="F61">
        <v>0.11274869999999999</v>
      </c>
      <c r="G61">
        <v>25.354711106700343</v>
      </c>
      <c r="H61">
        <v>0.1128849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O18"/>
  <sheetViews>
    <sheetView topLeftCell="C1" workbookViewId="0">
      <selection activeCell="N12" sqref="N12"/>
    </sheetView>
  </sheetViews>
  <sheetFormatPr defaultRowHeight="14.25" x14ac:dyDescent="0.15"/>
  <cols>
    <col min="7" max="7" width="16.375" customWidth="1"/>
    <col min="11" max="11" width="16.75" customWidth="1"/>
    <col min="12" max="12" width="22.625" customWidth="1"/>
    <col min="13" max="13" width="12.875" customWidth="1"/>
  </cols>
  <sheetData>
    <row r="5" spans="6:15" ht="15" thickBot="1" x14ac:dyDescent="0.2"/>
    <row r="6" spans="6:15" ht="16.5" thickBot="1" x14ac:dyDescent="0.3">
      <c r="F6" s="91" t="s">
        <v>3</v>
      </c>
      <c r="G6" s="91" t="s">
        <v>35</v>
      </c>
      <c r="H6" s="91" t="s">
        <v>1</v>
      </c>
      <c r="I6" s="91" t="s">
        <v>37</v>
      </c>
      <c r="J6" s="90" t="s">
        <v>41</v>
      </c>
      <c r="K6" s="91" t="s">
        <v>36</v>
      </c>
      <c r="L6" s="91" t="s">
        <v>38</v>
      </c>
      <c r="M6" s="91" t="s">
        <v>39</v>
      </c>
    </row>
    <row r="7" spans="6:15" ht="15.75" x14ac:dyDescent="0.25">
      <c r="F7" s="88" t="s">
        <v>24</v>
      </c>
      <c r="G7" s="88" t="s">
        <v>26</v>
      </c>
      <c r="H7" s="49">
        <v>133</v>
      </c>
      <c r="I7" s="49">
        <v>15</v>
      </c>
      <c r="J7" s="127">
        <v>3.2949876499999999</v>
      </c>
      <c r="K7" s="88">
        <v>0.125</v>
      </c>
      <c r="L7" s="160">
        <v>0.12089035992075139</v>
      </c>
      <c r="M7" s="165">
        <f>100*(L7-K7)/K7</f>
        <v>-3.2877120633988843</v>
      </c>
      <c r="N7">
        <f>J7/27.256</f>
        <v>0.12089035992075139</v>
      </c>
    </row>
    <row r="8" spans="6:15" ht="15.75" x14ac:dyDescent="0.25">
      <c r="F8" s="11" t="s">
        <v>24</v>
      </c>
      <c r="G8" s="11" t="s">
        <v>6</v>
      </c>
      <c r="H8" s="11">
        <v>133</v>
      </c>
      <c r="I8" s="11">
        <v>15</v>
      </c>
      <c r="J8" s="128">
        <v>8.3139092721888002</v>
      </c>
      <c r="K8" s="11">
        <v>0.23899999999999999</v>
      </c>
      <c r="L8" s="161">
        <v>0.22063343963135715</v>
      </c>
      <c r="M8" s="166">
        <f t="shared" ref="M8:M18" si="0">100*(L8-K8)/K8</f>
        <v>-7.684753292319181</v>
      </c>
      <c r="N8">
        <f>J8/37.682</f>
        <v>0.22063343963135715</v>
      </c>
    </row>
    <row r="9" spans="6:15" ht="15.75" x14ac:dyDescent="0.25">
      <c r="F9" s="11" t="s">
        <v>24</v>
      </c>
      <c r="G9" s="11" t="s">
        <v>40</v>
      </c>
      <c r="H9" s="11">
        <v>133</v>
      </c>
      <c r="I9" s="11">
        <v>15</v>
      </c>
      <c r="J9" s="128">
        <v>2.34561233211</v>
      </c>
      <c r="K9" s="11">
        <v>0.155</v>
      </c>
      <c r="L9" s="161">
        <v>0.14764350299678983</v>
      </c>
      <c r="M9" s="166">
        <f t="shared" si="0"/>
        <v>-4.746127098845272</v>
      </c>
      <c r="N9">
        <f>J9/15.887</f>
        <v>0.14764350299678983</v>
      </c>
    </row>
    <row r="10" spans="6:15" ht="15.75" x14ac:dyDescent="0.25">
      <c r="F10" s="53" t="s">
        <v>24</v>
      </c>
      <c r="G10" s="53" t="s">
        <v>6</v>
      </c>
      <c r="H10" s="53">
        <v>100</v>
      </c>
      <c r="I10" s="53">
        <v>20</v>
      </c>
      <c r="J10" s="128">
        <v>7.39515004725164</v>
      </c>
      <c r="K10" s="11">
        <v>0.23899999999999999</v>
      </c>
      <c r="L10" s="162">
        <v>0.25068305244920813</v>
      </c>
      <c r="M10" s="166">
        <f t="shared" si="0"/>
        <v>4.8883064641038256</v>
      </c>
      <c r="N10">
        <f>J10/29.5</f>
        <v>0.25068305244920813</v>
      </c>
    </row>
    <row r="11" spans="6:15" ht="15.75" x14ac:dyDescent="0.25">
      <c r="F11" s="49" t="s">
        <v>4</v>
      </c>
      <c r="G11" s="49" t="s">
        <v>26</v>
      </c>
      <c r="H11" s="49">
        <v>133</v>
      </c>
      <c r="I11" s="49">
        <v>15</v>
      </c>
      <c r="J11" s="129">
        <v>1.9486872340000001</v>
      </c>
      <c r="K11" s="49">
        <v>2.8000000000000001E-2</v>
      </c>
      <c r="L11" s="163">
        <v>3.0517875895700645E-2</v>
      </c>
      <c r="M11" s="167">
        <f>100*(L11-K11)/K11</f>
        <v>8.9924139132165877</v>
      </c>
      <c r="N11">
        <f>(J11-1.3354)/20.096</f>
        <v>3.0517875895700645E-2</v>
      </c>
    </row>
    <row r="12" spans="6:15" ht="15.75" x14ac:dyDescent="0.25">
      <c r="F12" s="11" t="s">
        <v>4</v>
      </c>
      <c r="G12" s="11" t="s">
        <v>6</v>
      </c>
      <c r="H12" s="11">
        <v>133</v>
      </c>
      <c r="I12" s="11">
        <v>15</v>
      </c>
      <c r="J12" s="128">
        <v>1.97219049757058</v>
      </c>
      <c r="K12" s="11">
        <v>2.4E-2</v>
      </c>
      <c r="L12" s="161">
        <v>2.3609671218043068E-2</v>
      </c>
      <c r="M12" s="166">
        <f t="shared" si="0"/>
        <v>-1.6263699248205501</v>
      </c>
      <c r="N12">
        <f>(J12-1.2015)/32.643</f>
        <v>2.3609671218043068E-2</v>
      </c>
      <c r="O12">
        <f>100*(N12-K12)/K12</f>
        <v>-1.6263699248205501</v>
      </c>
    </row>
    <row r="13" spans="6:15" ht="15.75" x14ac:dyDescent="0.25">
      <c r="F13" s="11" t="s">
        <v>4</v>
      </c>
      <c r="G13" s="11" t="s">
        <v>40</v>
      </c>
      <c r="H13" s="11">
        <v>133</v>
      </c>
      <c r="I13" s="11">
        <v>15</v>
      </c>
      <c r="J13" s="128">
        <v>1.7235430899999999</v>
      </c>
      <c r="K13" s="11">
        <v>2.0500000000000001E-2</v>
      </c>
      <c r="L13" s="161">
        <v>2.1068209214501497E-2</v>
      </c>
      <c r="M13" s="166">
        <f t="shared" si="0"/>
        <v>2.7717522658609584</v>
      </c>
      <c r="N13">
        <f>(J13-1.4446)/13.24</f>
        <v>2.1068209214501497E-2</v>
      </c>
    </row>
    <row r="14" spans="6:15" ht="15.75" x14ac:dyDescent="0.25">
      <c r="F14" s="53" t="s">
        <v>4</v>
      </c>
      <c r="G14" s="53" t="s">
        <v>6</v>
      </c>
      <c r="H14" s="53">
        <v>100</v>
      </c>
      <c r="I14" s="53">
        <v>20</v>
      </c>
      <c r="J14" s="130">
        <v>1.63107517833549</v>
      </c>
      <c r="K14" s="53">
        <v>2.4E-2</v>
      </c>
      <c r="L14" s="162">
        <v>2.495709252710689E-2</v>
      </c>
      <c r="M14" s="168">
        <f t="shared" si="0"/>
        <v>3.9878855296120377</v>
      </c>
      <c r="N14">
        <f>(J14-0.9332)/27.963</f>
        <v>2.495709252710689E-2</v>
      </c>
      <c r="O14">
        <f>100*(N14-K14)/K14</f>
        <v>3.9878855296120377</v>
      </c>
    </row>
    <row r="15" spans="6:15" ht="15.75" x14ac:dyDescent="0.25">
      <c r="F15" s="11" t="s">
        <v>28</v>
      </c>
      <c r="G15" s="11" t="s">
        <v>26</v>
      </c>
      <c r="H15" s="49">
        <v>133</v>
      </c>
      <c r="I15" s="49">
        <v>15</v>
      </c>
      <c r="J15" s="128">
        <v>3.71487932365411</v>
      </c>
      <c r="K15" s="11">
        <v>0.13500000000000001</v>
      </c>
      <c r="L15" s="161">
        <v>0.13337806305096211</v>
      </c>
      <c r="M15" s="166">
        <f>100*(L15-K15)/K15</f>
        <v>-1.2014347770651068</v>
      </c>
      <c r="N15">
        <f>(J15-2.2856)/10.716</f>
        <v>0.13337806305096211</v>
      </c>
    </row>
    <row r="16" spans="6:15" ht="15.75" x14ac:dyDescent="0.25">
      <c r="F16" s="11" t="s">
        <v>28</v>
      </c>
      <c r="G16" s="11" t="s">
        <v>6</v>
      </c>
      <c r="H16" s="11">
        <v>133</v>
      </c>
      <c r="I16" s="11">
        <v>15</v>
      </c>
      <c r="J16" s="128">
        <v>4.51605569</v>
      </c>
      <c r="K16" s="11">
        <v>0.105</v>
      </c>
      <c r="L16" s="161">
        <v>0.10636557768042834</v>
      </c>
      <c r="M16" s="166">
        <f t="shared" si="0"/>
        <v>1.3005501718365196</v>
      </c>
      <c r="N16">
        <f>(J16-2.1123)/22.599</f>
        <v>0.10636557768042834</v>
      </c>
    </row>
    <row r="17" spans="6:15" ht="15.75" x14ac:dyDescent="0.25">
      <c r="F17" s="11" t="s">
        <v>28</v>
      </c>
      <c r="G17" s="11" t="s">
        <v>40</v>
      </c>
      <c r="H17" s="11">
        <v>133</v>
      </c>
      <c r="I17" s="11">
        <v>15</v>
      </c>
      <c r="J17" s="128">
        <v>3.379780810000002</v>
      </c>
      <c r="K17" s="11">
        <v>0.12</v>
      </c>
      <c r="L17" s="161">
        <v>0.12143072164538371</v>
      </c>
      <c r="M17" s="166">
        <f t="shared" si="0"/>
        <v>1.1922680378197623</v>
      </c>
      <c r="N17">
        <f>(J17-2.0583)/6.0131</f>
        <v>0.21976697709999868</v>
      </c>
    </row>
    <row r="18" spans="6:15" ht="16.5" thickBot="1" x14ac:dyDescent="0.3">
      <c r="F18" s="89" t="s">
        <v>28</v>
      </c>
      <c r="G18" s="89" t="s">
        <v>6</v>
      </c>
      <c r="H18" s="89">
        <v>100</v>
      </c>
      <c r="I18" s="89">
        <v>20</v>
      </c>
      <c r="J18" s="131">
        <v>3.5385616877413999</v>
      </c>
      <c r="K18" s="89">
        <v>0.105</v>
      </c>
      <c r="L18" s="164">
        <v>0.10208779542946469</v>
      </c>
      <c r="M18" s="169">
        <f t="shared" si="0"/>
        <v>-2.7735281624145727</v>
      </c>
      <c r="N18">
        <f>(J18-1.7459)/17.56</f>
        <v>0.10208779542946469</v>
      </c>
      <c r="O18">
        <f>100*(N18-K18)/K18</f>
        <v>-2.7735281624145727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Sand</vt:lpstr>
      <vt:lpstr>Soil</vt:lpstr>
      <vt:lpstr>Mix</vt:lpstr>
      <vt:lpstr>energy</vt:lpstr>
      <vt:lpstr>Sludge</vt:lpstr>
      <vt:lpstr>Comparison</vt:lpstr>
      <vt:lpstr>Control</vt:lpstr>
      <vt:lpstr>CHECK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He</dc:creator>
  <cp:lastModifiedBy>YangHe</cp:lastModifiedBy>
  <cp:lastPrinted>2016-01-06T18:59:56Z</cp:lastPrinted>
  <dcterms:created xsi:type="dcterms:W3CDTF">2015-11-12T20:14:46Z</dcterms:created>
  <dcterms:modified xsi:type="dcterms:W3CDTF">2016-06-07T03:36:12Z</dcterms:modified>
</cp:coreProperties>
</file>