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icrowave\Data\"/>
    </mc:Choice>
  </mc:AlternateContent>
  <bookViews>
    <workbookView xWindow="0" yWindow="0" windowWidth="20490" windowHeight="7755" activeTab="1"/>
  </bookViews>
  <sheets>
    <sheet name="Stock1" sheetId="1" r:id="rId1"/>
    <sheet name="lowconcentration" sheetId="14" r:id="rId2"/>
    <sheet name="Stock2" sheetId="2" r:id="rId3"/>
    <sheet name="Stock3" sheetId="4" r:id="rId4"/>
    <sheet name="Stock 4" sheetId="5" r:id="rId5"/>
    <sheet name="Stock 5" sheetId="6" r:id="rId6"/>
    <sheet name="Stock6" sheetId="7" r:id="rId7"/>
    <sheet name="Stock7" sheetId="8" r:id="rId8"/>
    <sheet name="Stock8" sheetId="9" r:id="rId9"/>
    <sheet name="Stock9" sheetId="10" r:id="rId10"/>
    <sheet name="Stock10" sheetId="11" r:id="rId11"/>
    <sheet name="Stock11" sheetId="13" r:id="rId12"/>
    <sheet name="Plot" sheetId="3" r:id="rId13"/>
  </sheets>
  <externalReferences>
    <externalReference r:id="rId1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4" l="1"/>
  <c r="H43" i="14"/>
  <c r="E50" i="14"/>
  <c r="E51" i="14"/>
  <c r="E52" i="14"/>
  <c r="E53" i="14"/>
  <c r="E54" i="14"/>
  <c r="E55" i="14"/>
  <c r="E49" i="14"/>
  <c r="E41" i="14"/>
  <c r="E42" i="14"/>
  <c r="E43" i="14"/>
  <c r="E44" i="14"/>
  <c r="E45" i="14"/>
  <c r="E46" i="14"/>
  <c r="E40" i="14"/>
  <c r="G30" i="14"/>
  <c r="H34" i="14"/>
  <c r="E32" i="14"/>
  <c r="E33" i="14"/>
  <c r="E34" i="14"/>
  <c r="E35" i="14"/>
  <c r="E36" i="14"/>
  <c r="E37" i="14"/>
  <c r="E31" i="14"/>
  <c r="G52" i="14"/>
  <c r="G43" i="14"/>
  <c r="G34" i="14"/>
  <c r="F38" i="14"/>
  <c r="G29" i="14" s="1"/>
  <c r="F56" i="14" l="1"/>
  <c r="I47" i="14" s="1"/>
  <c r="I48" i="14" s="1"/>
  <c r="F47" i="14"/>
  <c r="I38" i="14" s="1"/>
  <c r="I39" i="14" s="1"/>
  <c r="H2" i="5"/>
  <c r="U4" i="4"/>
  <c r="I3" i="4"/>
  <c r="U6" i="6" l="1"/>
  <c r="K11" i="10"/>
  <c r="Z6" i="2"/>
  <c r="K51" i="3" l="1"/>
  <c r="J51" i="3"/>
  <c r="J49" i="3"/>
  <c r="M20" i="3" l="1"/>
  <c r="T16" i="14" l="1"/>
  <c r="T17" i="14"/>
  <c r="T15" i="14"/>
  <c r="AC10" i="14"/>
  <c r="AC11" i="14"/>
  <c r="AC9" i="14"/>
  <c r="O10" i="3"/>
  <c r="M57" i="10" l="1"/>
  <c r="AE5" i="14" l="1"/>
  <c r="AF8" i="14" l="1"/>
  <c r="AE7" i="14"/>
  <c r="U15" i="14"/>
  <c r="AE8" i="14"/>
  <c r="AF6" i="14"/>
  <c r="AE6" i="14"/>
  <c r="U12" i="14"/>
  <c r="Z17" i="14"/>
  <c r="Z16" i="14"/>
  <c r="U16" i="14"/>
  <c r="Z15" i="14"/>
  <c r="U9" i="14"/>
  <c r="Z14" i="14"/>
  <c r="Z13" i="14"/>
  <c r="U13" i="14"/>
  <c r="Z12" i="14"/>
  <c r="U6" i="14"/>
  <c r="Z11" i="14"/>
  <c r="Z10" i="14"/>
  <c r="U10" i="14"/>
  <c r="Z9" i="14"/>
  <c r="AG6" i="14" l="1"/>
  <c r="AG8" i="14"/>
  <c r="AF7" i="14"/>
  <c r="AG7" i="14" s="1"/>
  <c r="AA15" i="14"/>
  <c r="AA16" i="14"/>
  <c r="AA17" i="14"/>
  <c r="AA14" i="14"/>
  <c r="AA12" i="14"/>
  <c r="AA9" i="14"/>
  <c r="AA13" i="14"/>
  <c r="AA10" i="14"/>
  <c r="AA11" i="14"/>
  <c r="U7" i="14"/>
  <c r="Z8" i="14"/>
  <c r="Z7" i="14"/>
  <c r="AA7" i="14" s="1"/>
  <c r="Z6" i="14"/>
  <c r="AA6" i="14" s="1"/>
  <c r="AA8" i="14" l="1"/>
  <c r="Q4" i="14"/>
  <c r="M15" i="14"/>
  <c r="M12" i="14"/>
  <c r="M9" i="14" l="1"/>
  <c r="R12" i="14"/>
  <c r="R13" i="14"/>
  <c r="R14" i="14"/>
  <c r="R15" i="14"/>
  <c r="R16" i="14"/>
  <c r="R17" i="14"/>
  <c r="R11" i="14"/>
  <c r="S10" i="14"/>
  <c r="R10" i="14"/>
  <c r="M10" i="14" l="1"/>
  <c r="S9" i="14"/>
  <c r="R9" i="14"/>
  <c r="E9" i="3" l="1"/>
  <c r="P34" i="3" l="1"/>
  <c r="P35" i="3"/>
  <c r="P36" i="3"/>
  <c r="P37" i="3"/>
  <c r="P38" i="3"/>
  <c r="P33" i="3"/>
  <c r="S34" i="3"/>
  <c r="S35" i="3"/>
  <c r="S36" i="3"/>
  <c r="S37" i="3"/>
  <c r="S33" i="3"/>
  <c r="J75" i="3" l="1"/>
  <c r="D12" i="14"/>
  <c r="I3" i="8"/>
  <c r="G5" i="5"/>
  <c r="J61" i="3" l="1"/>
  <c r="J57" i="3"/>
  <c r="J55" i="3"/>
  <c r="E22" i="14" l="1"/>
  <c r="J23" i="14"/>
  <c r="K23" i="14" s="1"/>
  <c r="J22" i="14"/>
  <c r="K22" i="14" s="1"/>
  <c r="J21" i="14"/>
  <c r="K21" i="14" s="1"/>
  <c r="E21" i="14"/>
  <c r="M7" i="14" l="1"/>
  <c r="M6" i="14"/>
  <c r="S17" i="14"/>
  <c r="J20" i="14"/>
  <c r="J19" i="14"/>
  <c r="J18" i="14"/>
  <c r="E18" i="14"/>
  <c r="K18" i="14" s="1"/>
  <c r="J17" i="14"/>
  <c r="J16" i="14"/>
  <c r="K16" i="14" s="1"/>
  <c r="E12" i="14"/>
  <c r="J15" i="14"/>
  <c r="K15" i="14" s="1"/>
  <c r="E15" i="14"/>
  <c r="D15" i="14" s="1"/>
  <c r="S14" i="14"/>
  <c r="S11" i="14"/>
  <c r="R8" i="14"/>
  <c r="R7" i="14"/>
  <c r="S7" i="14" s="1"/>
  <c r="R6" i="14"/>
  <c r="K19" i="14"/>
  <c r="K17" i="14"/>
  <c r="J14" i="14"/>
  <c r="K14" i="14" s="1"/>
  <c r="J13" i="14"/>
  <c r="K13" i="14" s="1"/>
  <c r="J12" i="14"/>
  <c r="J11" i="14"/>
  <c r="K11" i="14" s="1"/>
  <c r="J10" i="14"/>
  <c r="K10" i="14" s="1"/>
  <c r="E10" i="14"/>
  <c r="J9" i="14"/>
  <c r="J8" i="14"/>
  <c r="E8" i="14"/>
  <c r="K9" i="14" s="1"/>
  <c r="J7" i="14"/>
  <c r="E7" i="14"/>
  <c r="J6" i="14"/>
  <c r="E6" i="14"/>
  <c r="K6" i="14" l="1"/>
  <c r="K8" i="14"/>
  <c r="K7" i="14"/>
  <c r="K12" i="14"/>
  <c r="S8" i="14"/>
  <c r="S6" i="14"/>
  <c r="S15" i="14"/>
  <c r="S16" i="14"/>
  <c r="K20" i="14"/>
  <c r="S12" i="14"/>
  <c r="S13" i="14"/>
  <c r="T4" i="2" l="1"/>
  <c r="Z4" i="2" s="1"/>
  <c r="L6" i="2"/>
  <c r="S6" i="2"/>
  <c r="T5" i="2"/>
  <c r="Y4" i="2"/>
  <c r="Y4" i="1" l="1"/>
  <c r="Z4" i="1" s="1"/>
  <c r="T4" i="1"/>
  <c r="T3" i="1" l="1"/>
  <c r="Y3" i="1"/>
  <c r="Z3" i="1" l="1"/>
  <c r="X6" i="1"/>
  <c r="Z6" i="1"/>
  <c r="P24" i="13"/>
  <c r="P23" i="13"/>
  <c r="G12" i="13"/>
  <c r="N27" i="11"/>
  <c r="I27" i="13"/>
  <c r="I26" i="13"/>
  <c r="P22" i="13" l="1"/>
  <c r="I25" i="13"/>
  <c r="Q24" i="13"/>
  <c r="I24" i="13"/>
  <c r="N15" i="13"/>
  <c r="O15" i="13"/>
  <c r="I15" i="13"/>
  <c r="I17" i="13"/>
  <c r="I16" i="13"/>
  <c r="V9" i="5"/>
  <c r="AA9" i="5"/>
  <c r="AB9" i="5" l="1"/>
  <c r="V8" i="5"/>
  <c r="AA8" i="5"/>
  <c r="AB8" i="5" s="1"/>
  <c r="V7" i="5"/>
  <c r="AA7" i="5"/>
  <c r="V6" i="5"/>
  <c r="Q52" i="3"/>
  <c r="E73" i="3"/>
  <c r="Q49" i="3"/>
  <c r="Q50" i="3"/>
  <c r="Q48" i="3"/>
  <c r="Q51" i="3"/>
  <c r="I23" i="13"/>
  <c r="N37" i="11"/>
  <c r="I22" i="13"/>
  <c r="N27" i="13"/>
  <c r="O27" i="13" s="1"/>
  <c r="N26" i="13"/>
  <c r="O26" i="13" s="1"/>
  <c r="N25" i="13"/>
  <c r="O25" i="13" s="1"/>
  <c r="N24" i="13"/>
  <c r="N23" i="13"/>
  <c r="O23" i="13" s="1"/>
  <c r="N22" i="13"/>
  <c r="I14" i="13"/>
  <c r="O12" i="13"/>
  <c r="I13" i="13"/>
  <c r="AB7" i="5" l="1"/>
  <c r="O22" i="13"/>
  <c r="O24" i="13"/>
  <c r="E74" i="3"/>
  <c r="J76" i="3"/>
  <c r="J77" i="3" s="1"/>
  <c r="J74" i="3"/>
  <c r="E67" i="3"/>
  <c r="E68" i="3" s="1"/>
  <c r="J70" i="3"/>
  <c r="J71" i="3" s="1"/>
  <c r="J68" i="3"/>
  <c r="J69" i="3" s="1"/>
  <c r="P25" i="13" l="1"/>
  <c r="K74" i="3"/>
  <c r="K75" i="3" s="1"/>
  <c r="K76" i="3"/>
  <c r="K77" i="3" s="1"/>
  <c r="K68" i="3"/>
  <c r="K69" i="3" s="1"/>
  <c r="K70" i="3"/>
  <c r="K71" i="3" s="1"/>
  <c r="I12" i="13"/>
  <c r="N17" i="13"/>
  <c r="O17" i="13" s="1"/>
  <c r="N16" i="13"/>
  <c r="O16" i="13" s="1"/>
  <c r="N14" i="13"/>
  <c r="O14" i="13" s="1"/>
  <c r="N13" i="13"/>
  <c r="O13" i="13" s="1"/>
  <c r="N12" i="13"/>
  <c r="V5" i="5"/>
  <c r="AB3" i="5"/>
  <c r="V4" i="5"/>
  <c r="V3" i="5"/>
  <c r="AA6" i="5"/>
  <c r="AB6" i="5" s="1"/>
  <c r="AA5" i="5"/>
  <c r="AA4" i="5"/>
  <c r="AB4" i="5" s="1"/>
  <c r="AA3" i="5"/>
  <c r="P14" i="13" l="1"/>
  <c r="P15" i="13"/>
  <c r="AB5" i="5"/>
  <c r="P16" i="13" l="1"/>
  <c r="E59" i="3"/>
  <c r="E53" i="3"/>
  <c r="J62" i="3"/>
  <c r="J63" i="3" s="1"/>
  <c r="J60" i="3"/>
  <c r="E60" i="3"/>
  <c r="E54" i="3"/>
  <c r="J56" i="3"/>
  <c r="J54" i="3"/>
  <c r="J50" i="3"/>
  <c r="E47" i="3"/>
  <c r="E48" i="3" s="1"/>
  <c r="J48" i="3"/>
  <c r="K50" i="3" l="1"/>
  <c r="K48" i="3"/>
  <c r="K49" i="3" s="1"/>
  <c r="K60" i="3"/>
  <c r="K61" i="3" s="1"/>
  <c r="K62" i="3"/>
  <c r="K63" i="3" s="1"/>
  <c r="K56" i="3"/>
  <c r="K57" i="3" s="1"/>
  <c r="K54" i="3"/>
  <c r="K55" i="3" s="1"/>
  <c r="P24" i="4"/>
  <c r="U24" i="4"/>
  <c r="E49" i="10"/>
  <c r="G37" i="11"/>
  <c r="L37" i="11"/>
  <c r="M37" i="11"/>
  <c r="N38" i="11"/>
  <c r="N36" i="11"/>
  <c r="G42" i="11"/>
  <c r="G41" i="11"/>
  <c r="L42" i="11"/>
  <c r="M42" i="11" s="1"/>
  <c r="G40" i="11"/>
  <c r="G39" i="11"/>
  <c r="G38" i="11"/>
  <c r="G31" i="11"/>
  <c r="L31" i="11"/>
  <c r="M31" i="11" s="1"/>
  <c r="U23" i="4"/>
  <c r="P23" i="4"/>
  <c r="U22" i="4"/>
  <c r="P22" i="4"/>
  <c r="U21" i="4"/>
  <c r="P21" i="4"/>
  <c r="G36" i="11" l="1"/>
  <c r="L41" i="11"/>
  <c r="L40" i="11"/>
  <c r="L39" i="11"/>
  <c r="L38" i="11"/>
  <c r="M38" i="11" s="1"/>
  <c r="L36" i="11"/>
  <c r="G30" i="11"/>
  <c r="G29" i="11"/>
  <c r="G28" i="11"/>
  <c r="E25" i="11" s="1"/>
  <c r="K28" i="9"/>
  <c r="M10" i="8"/>
  <c r="N26" i="6"/>
  <c r="M32" i="10"/>
  <c r="G27" i="11"/>
  <c r="G26" i="11"/>
  <c r="G25" i="11"/>
  <c r="L30" i="11"/>
  <c r="M30" i="11" s="1"/>
  <c r="L29" i="11"/>
  <c r="M29" i="11" s="1"/>
  <c r="L28" i="11"/>
  <c r="M28" i="11" s="1"/>
  <c r="L27" i="11"/>
  <c r="M27" i="11" s="1"/>
  <c r="L26" i="11"/>
  <c r="L25" i="11"/>
  <c r="G8" i="11"/>
  <c r="G7" i="11"/>
  <c r="G6" i="11"/>
  <c r="G5" i="11"/>
  <c r="L11" i="11"/>
  <c r="G11" i="11"/>
  <c r="L10" i="11"/>
  <c r="G10" i="11"/>
  <c r="L9" i="11"/>
  <c r="G9" i="11"/>
  <c r="L8" i="11"/>
  <c r="L7" i="11"/>
  <c r="M7" i="11" s="1"/>
  <c r="L6" i="11"/>
  <c r="L5" i="11"/>
  <c r="I3" i="11"/>
  <c r="M8" i="11" l="1"/>
  <c r="N28" i="11"/>
  <c r="M5" i="11"/>
  <c r="M26" i="11"/>
  <c r="M25" i="11"/>
  <c r="M41" i="11"/>
  <c r="M6" i="11"/>
  <c r="M40" i="11"/>
  <c r="M39" i="11"/>
  <c r="M36" i="11"/>
  <c r="N6" i="11"/>
  <c r="N7" i="11"/>
  <c r="J48" i="10"/>
  <c r="K48" i="10" s="1"/>
  <c r="E48" i="10"/>
  <c r="K47" i="10"/>
  <c r="J47" i="10"/>
  <c r="E47" i="10"/>
  <c r="K46" i="10"/>
  <c r="J46" i="10"/>
  <c r="E46" i="10"/>
  <c r="K45" i="10"/>
  <c r="J45" i="10"/>
  <c r="E45" i="10"/>
  <c r="K44" i="10"/>
  <c r="J44" i="10"/>
  <c r="E44" i="10"/>
  <c r="J43" i="10"/>
  <c r="L44" i="10" s="1"/>
  <c r="E43" i="10"/>
  <c r="J34" i="10"/>
  <c r="E34" i="10"/>
  <c r="J33" i="10"/>
  <c r="E33" i="10"/>
  <c r="J32" i="10"/>
  <c r="E32" i="10"/>
  <c r="J31" i="10"/>
  <c r="E31" i="10"/>
  <c r="J30" i="10"/>
  <c r="E30" i="10"/>
  <c r="J29" i="10"/>
  <c r="K31" i="10" s="1"/>
  <c r="E29" i="10"/>
  <c r="J19" i="10"/>
  <c r="E19" i="10"/>
  <c r="J18" i="10"/>
  <c r="E18" i="10"/>
  <c r="J17" i="10"/>
  <c r="E17" i="10"/>
  <c r="J13" i="10"/>
  <c r="E13" i="10"/>
  <c r="J12" i="10"/>
  <c r="E12" i="10"/>
  <c r="J11" i="10"/>
  <c r="E11" i="10"/>
  <c r="J10" i="10"/>
  <c r="E10" i="10"/>
  <c r="J9" i="10"/>
  <c r="E9" i="10"/>
  <c r="J8" i="10"/>
  <c r="E8" i="10"/>
  <c r="J7" i="10"/>
  <c r="E7" i="10"/>
  <c r="J6" i="10"/>
  <c r="E6" i="10"/>
  <c r="J5" i="10"/>
  <c r="E5" i="10"/>
  <c r="J4" i="10"/>
  <c r="E4" i="10"/>
  <c r="G2" i="10"/>
  <c r="N39" i="11" l="1"/>
  <c r="N29" i="11"/>
  <c r="N8" i="11"/>
  <c r="K32" i="10"/>
  <c r="K33" i="10" s="1"/>
  <c r="L45" i="10"/>
  <c r="L46" i="10" s="1"/>
  <c r="K43" i="10"/>
  <c r="K7" i="9" l="1"/>
  <c r="AA26" i="2" l="1"/>
  <c r="AA24" i="2"/>
  <c r="AF27" i="2"/>
  <c r="AF25" i="2"/>
  <c r="AA22" i="2"/>
  <c r="AF23" i="2"/>
  <c r="K38" i="9"/>
  <c r="P16" i="8"/>
  <c r="K45" i="9"/>
  <c r="N16" i="8"/>
  <c r="L44" i="9"/>
  <c r="R28" i="9"/>
  <c r="R27" i="9"/>
  <c r="R26" i="9"/>
  <c r="M26" i="9"/>
  <c r="R25" i="9"/>
  <c r="M25" i="9"/>
  <c r="S23" i="7"/>
  <c r="J48" i="9" l="1"/>
  <c r="E48" i="9"/>
  <c r="E47" i="9"/>
  <c r="E46" i="9"/>
  <c r="J47" i="9"/>
  <c r="J46" i="9"/>
  <c r="E45" i="9"/>
  <c r="E44" i="9"/>
  <c r="E43" i="9"/>
  <c r="E42" i="9"/>
  <c r="M21" i="9"/>
  <c r="AW9" i="8"/>
  <c r="G37" i="7"/>
  <c r="M24" i="9"/>
  <c r="R24" i="9"/>
  <c r="J45" i="9"/>
  <c r="J44" i="9"/>
  <c r="J43" i="9"/>
  <c r="J42" i="9"/>
  <c r="R22" i="9"/>
  <c r="R23" i="9"/>
  <c r="M23" i="9"/>
  <c r="M29" i="9"/>
  <c r="M22" i="9"/>
  <c r="R21" i="9"/>
  <c r="R29" i="9"/>
  <c r="E15" i="9"/>
  <c r="J15" i="9"/>
  <c r="J32" i="9" l="1"/>
  <c r="E25" i="9"/>
  <c r="E24" i="9"/>
  <c r="E23" i="9"/>
  <c r="E22" i="9"/>
  <c r="E21" i="9"/>
  <c r="E41" i="9" l="1"/>
  <c r="J40" i="9"/>
  <c r="E40" i="9"/>
  <c r="CS19" i="9"/>
  <c r="J33" i="9"/>
  <c r="CL19" i="9"/>
  <c r="CQ34" i="9"/>
  <c r="CE19" i="9"/>
  <c r="CE18" i="9" s="1"/>
  <c r="J31" i="9"/>
  <c r="E30" i="9"/>
  <c r="J29" i="9"/>
  <c r="J30" i="9"/>
  <c r="E29" i="9"/>
  <c r="AA8" i="1" l="1"/>
  <c r="AF9" i="1"/>
  <c r="J39" i="9"/>
  <c r="E39" i="9"/>
  <c r="E38" i="9"/>
  <c r="E37" i="9"/>
  <c r="E28" i="9"/>
  <c r="J28" i="9"/>
  <c r="E27" i="9"/>
  <c r="AU19" i="9"/>
  <c r="AN19" i="9"/>
  <c r="AG19" i="9"/>
  <c r="Z19" i="9"/>
  <c r="E20" i="9" l="1"/>
  <c r="BD7" i="8"/>
  <c r="BI8" i="8"/>
  <c r="E7" i="9"/>
  <c r="J41" i="9"/>
  <c r="J38" i="9"/>
  <c r="J37" i="9"/>
  <c r="J27" i="9"/>
  <c r="J26" i="9"/>
  <c r="J25" i="9"/>
  <c r="J24" i="9"/>
  <c r="J23" i="9"/>
  <c r="J22" i="9"/>
  <c r="J21" i="9"/>
  <c r="J20" i="9"/>
  <c r="J14" i="9"/>
  <c r="J13" i="9"/>
  <c r="J12" i="9"/>
  <c r="J11" i="9"/>
  <c r="J10" i="9"/>
  <c r="J9" i="9"/>
  <c r="J8" i="9"/>
  <c r="J7" i="9"/>
  <c r="G5" i="9"/>
  <c r="AW7" i="8" l="1"/>
  <c r="BB8" i="8"/>
  <c r="AP7" i="8" l="1"/>
  <c r="AU8" i="8"/>
  <c r="BD13" i="8" l="1"/>
  <c r="BI14" i="8"/>
  <c r="AW13" i="8"/>
  <c r="M28" i="2"/>
  <c r="BB14" i="8"/>
  <c r="AU14" i="8" l="1"/>
  <c r="AP13" i="8"/>
  <c r="AI13" i="8"/>
  <c r="AN14" i="8"/>
  <c r="BD4" i="8"/>
  <c r="BI5" i="8"/>
  <c r="AI7" i="8"/>
  <c r="AN8" i="8"/>
  <c r="I20" i="7" l="1"/>
  <c r="M22" i="7" l="1"/>
  <c r="N4" i="2"/>
  <c r="H19" i="6"/>
  <c r="AB13" i="8" l="1"/>
  <c r="AG14" i="8"/>
  <c r="U13" i="8"/>
  <c r="Z14" i="8"/>
  <c r="BD10" i="8" l="1"/>
  <c r="BD12" i="8" s="1"/>
  <c r="BI11" i="8"/>
  <c r="AW10" i="8"/>
  <c r="BB11" i="8"/>
  <c r="T21" i="2"/>
  <c r="AP10" i="8"/>
  <c r="AU11" i="8"/>
  <c r="AI10" i="8"/>
  <c r="AN11" i="8"/>
  <c r="AG8" i="8"/>
  <c r="AB7" i="8"/>
  <c r="AW4" i="8"/>
  <c r="BB5" i="8"/>
  <c r="AP4" i="8"/>
  <c r="AU5" i="8"/>
  <c r="U7" i="8" l="1"/>
  <c r="Z8" i="8"/>
  <c r="AI4" i="8"/>
  <c r="AN5" i="8"/>
  <c r="N13" i="8" l="1"/>
  <c r="G13" i="8"/>
  <c r="AB10" i="8"/>
  <c r="AG11" i="8"/>
  <c r="U10" i="8"/>
  <c r="Z11" i="8"/>
  <c r="N10" i="8"/>
  <c r="G10" i="8"/>
  <c r="N7" i="8"/>
  <c r="G7" i="8"/>
  <c r="AB4" i="8"/>
  <c r="AG5" i="8"/>
  <c r="U4" i="8"/>
  <c r="Z5" i="8"/>
  <c r="G4" i="8"/>
  <c r="N4" i="8"/>
  <c r="S5" i="8"/>
  <c r="S14" i="8" l="1"/>
  <c r="L14" i="8"/>
  <c r="S11" i="8"/>
  <c r="L11" i="8"/>
  <c r="S8" i="8"/>
  <c r="L8" i="8"/>
  <c r="L5" i="8"/>
  <c r="M8" i="5" l="1"/>
  <c r="I18" i="2" l="1"/>
  <c r="N30" i="7" l="1"/>
  <c r="G30" i="7"/>
  <c r="N27" i="7"/>
  <c r="G27" i="7"/>
  <c r="N24" i="7"/>
  <c r="G24" i="7" l="1"/>
  <c r="G21" i="7"/>
  <c r="S31" i="7"/>
  <c r="L31" i="7"/>
  <c r="S28" i="7"/>
  <c r="L28" i="7"/>
  <c r="S25" i="7"/>
  <c r="L25" i="7"/>
  <c r="L22" i="7"/>
  <c r="N11" i="7" l="1"/>
  <c r="S12" i="7"/>
  <c r="G11" i="7"/>
  <c r="Q18" i="3"/>
  <c r="N8" i="7"/>
  <c r="S9" i="7"/>
  <c r="G8" i="7"/>
  <c r="N5" i="7"/>
  <c r="I4" i="7" s="1"/>
  <c r="H3" i="6"/>
  <c r="G5" i="7"/>
  <c r="S6" i="7"/>
  <c r="S15" i="7"/>
  <c r="L15" i="7"/>
  <c r="N14" i="7"/>
  <c r="G14" i="7"/>
  <c r="L12" i="7"/>
  <c r="L9" i="7"/>
  <c r="L6" i="7"/>
  <c r="N30" i="6" l="1"/>
  <c r="G30" i="6"/>
  <c r="S31" i="6"/>
  <c r="L31" i="6"/>
  <c r="N27" i="6"/>
  <c r="G27" i="6"/>
  <c r="N18" i="2"/>
  <c r="N24" i="6"/>
  <c r="G24" i="6"/>
  <c r="G21" i="6"/>
  <c r="S28" i="6"/>
  <c r="L28" i="6"/>
  <c r="S25" i="6"/>
  <c r="L25" i="6"/>
  <c r="L22" i="6"/>
  <c r="N14" i="6" l="1"/>
  <c r="G14" i="6"/>
  <c r="U11" i="6"/>
  <c r="Z12" i="6"/>
  <c r="N11" i="6"/>
  <c r="G11" i="6"/>
  <c r="U8" i="6"/>
  <c r="Z9" i="6"/>
  <c r="S9" i="6" l="1"/>
  <c r="N8" i="6" l="1"/>
  <c r="G8" i="6"/>
  <c r="N5" i="6" l="1"/>
  <c r="G5" i="6"/>
  <c r="S15" i="6"/>
  <c r="L15" i="6"/>
  <c r="S12" i="6"/>
  <c r="L12" i="6"/>
  <c r="L9" i="6"/>
  <c r="S6" i="6"/>
  <c r="L6" i="6"/>
  <c r="G46" i="2" l="1"/>
  <c r="G43" i="2"/>
  <c r="G40" i="2"/>
  <c r="G37" i="2"/>
  <c r="L47" i="2"/>
  <c r="L44" i="2"/>
  <c r="L41" i="2"/>
  <c r="L38" i="2"/>
  <c r="U11" i="5" l="1"/>
  <c r="Z12" i="5"/>
  <c r="G11" i="5"/>
  <c r="Z15" i="5"/>
  <c r="U14" i="5"/>
  <c r="N14" i="5"/>
  <c r="G14" i="5"/>
  <c r="N7" i="5"/>
  <c r="G7" i="5"/>
  <c r="N4" i="5"/>
  <c r="G4" i="5"/>
  <c r="S12" i="5"/>
  <c r="L12" i="5"/>
  <c r="N11" i="5"/>
  <c r="S15" i="5"/>
  <c r="L15" i="5"/>
  <c r="S8" i="5"/>
  <c r="L8" i="5"/>
  <c r="S5" i="5"/>
  <c r="L5" i="5"/>
  <c r="F30" i="1" l="1"/>
  <c r="F27" i="1"/>
  <c r="F24" i="1"/>
  <c r="F21" i="1"/>
  <c r="K31" i="1"/>
  <c r="K28" i="1"/>
  <c r="K25" i="1"/>
  <c r="K22" i="1"/>
  <c r="N25" i="4" l="1"/>
  <c r="G25" i="4"/>
  <c r="E25" i="4" s="1"/>
  <c r="U28" i="4"/>
  <c r="Z29" i="4"/>
  <c r="N28" i="4"/>
  <c r="G28" i="4"/>
  <c r="G22" i="4"/>
  <c r="G19" i="4"/>
  <c r="S26" i="4"/>
  <c r="L26" i="4"/>
  <c r="S29" i="4"/>
  <c r="L29" i="4"/>
  <c r="L23" i="4"/>
  <c r="L20" i="4"/>
  <c r="M23" i="4" l="1"/>
  <c r="U13" i="4"/>
  <c r="Z14" i="4"/>
  <c r="N13" i="4"/>
  <c r="G13" i="4"/>
  <c r="U10" i="4"/>
  <c r="Z11" i="4"/>
  <c r="N10" i="4"/>
  <c r="L11" i="4"/>
  <c r="G10" i="4"/>
  <c r="Z8" i="4"/>
  <c r="U7" i="4"/>
  <c r="M22" i="4" s="1"/>
  <c r="N7" i="4"/>
  <c r="S8" i="4"/>
  <c r="L8" i="4"/>
  <c r="G7" i="4"/>
  <c r="N4" i="4"/>
  <c r="G4" i="4"/>
  <c r="S14" i="4"/>
  <c r="L14" i="4"/>
  <c r="S11" i="4"/>
  <c r="S5" i="4"/>
  <c r="L5" i="4"/>
  <c r="M8" i="4" l="1"/>
  <c r="AA8" i="4"/>
  <c r="T8" i="4"/>
  <c r="F28" i="2"/>
  <c r="M25" i="2"/>
  <c r="F25" i="2"/>
  <c r="T22" i="2"/>
  <c r="Y23" i="2"/>
  <c r="M22" i="2"/>
  <c r="F22" i="2"/>
  <c r="M19" i="2"/>
  <c r="F19" i="2"/>
  <c r="K17" i="2"/>
  <c r="R29" i="2"/>
  <c r="K29" i="2"/>
  <c r="R26" i="2"/>
  <c r="K26" i="2"/>
  <c r="R23" i="2"/>
  <c r="K23" i="2"/>
  <c r="R20" i="2"/>
  <c r="K20" i="2"/>
  <c r="M14" i="2" l="1"/>
  <c r="F14" i="2"/>
  <c r="M11" i="2"/>
  <c r="F11" i="2"/>
  <c r="T8" i="2"/>
  <c r="Y9" i="2"/>
  <c r="M8" i="2"/>
  <c r="F8" i="2"/>
  <c r="M5" i="2"/>
  <c r="I4" i="2"/>
  <c r="F5" i="2" l="1"/>
  <c r="F5" i="1"/>
  <c r="R15" i="2" l="1"/>
  <c r="K15" i="2"/>
  <c r="R12" i="2"/>
  <c r="K12" i="2"/>
  <c r="R9" i="2"/>
  <c r="K9" i="2"/>
  <c r="R6" i="2"/>
  <c r="K6" i="2"/>
  <c r="M14" i="1" l="1"/>
  <c r="R15" i="1"/>
  <c r="F14" i="1"/>
  <c r="M11" i="1"/>
  <c r="R12" i="1"/>
  <c r="F11" i="1"/>
  <c r="T8" i="1"/>
  <c r="Y9" i="1"/>
  <c r="M8" i="1"/>
  <c r="R9" i="1"/>
  <c r="F8" i="1"/>
  <c r="M5" i="1"/>
  <c r="R6" i="1"/>
  <c r="K15" i="1"/>
  <c r="K12" i="1"/>
  <c r="K9" i="1"/>
  <c r="K6" i="1"/>
  <c r="G3" i="1" l="1"/>
  <c r="H3" i="1" s="1"/>
  <c r="L6" i="1"/>
  <c r="S6" i="1"/>
</calcChain>
</file>

<file path=xl/sharedStrings.xml><?xml version="1.0" encoding="utf-8"?>
<sst xmlns="http://schemas.openxmlformats.org/spreadsheetml/2006/main" count="1027" uniqueCount="110">
  <si>
    <t>2ml</t>
  </si>
  <si>
    <t>Crystal (20mg/20g)</t>
  </si>
  <si>
    <t>Time (s)</t>
  </si>
  <si>
    <t>Power (W)</t>
  </si>
  <si>
    <r>
      <t>T</t>
    </r>
    <r>
      <rPr>
        <vertAlign val="subscript"/>
        <sz val="11"/>
        <color theme="1"/>
        <rFont val="Calibri"/>
        <family val="2"/>
        <scheme val="minor"/>
      </rPr>
      <t>o</t>
    </r>
  </si>
  <si>
    <t>T</t>
  </si>
  <si>
    <t>∆T</t>
  </si>
  <si>
    <t>4ml</t>
  </si>
  <si>
    <t>SiL-250 (20mg/20g)</t>
  </si>
  <si>
    <t>SiL-90 (20mg/20g)</t>
  </si>
  <si>
    <t>SiL-40 (20mg/20g)</t>
  </si>
  <si>
    <t>CTAB</t>
  </si>
  <si>
    <t>Crystal (40mg/20g)</t>
  </si>
  <si>
    <t>SiL-250 (40mg/20g)</t>
  </si>
  <si>
    <t>SiL-90 (40mg/20g)</t>
  </si>
  <si>
    <t>SiL-40 (40mg/20g)</t>
  </si>
  <si>
    <t>MWCNT (mg)</t>
  </si>
  <si>
    <t>Sil250</t>
  </si>
  <si>
    <t>blank</t>
  </si>
  <si>
    <t>Crystal (60mg/20g)</t>
  </si>
  <si>
    <t>SiL-250 (60mg/20g)</t>
  </si>
  <si>
    <t>SiL-90 (60mg/20g)</t>
  </si>
  <si>
    <t>SiL-40 (60mg/20g)</t>
  </si>
  <si>
    <t>Sand+CTAB (No MWCNT)</t>
  </si>
  <si>
    <t xml:space="preserve">Crystal </t>
  </si>
  <si>
    <t xml:space="preserve">SiL-250 </t>
  </si>
  <si>
    <t xml:space="preserve">SiL-90 </t>
  </si>
  <si>
    <t xml:space="preserve">SiL-40 </t>
  </si>
  <si>
    <t>Crystal (80mg/20g)</t>
  </si>
  <si>
    <t>SiL-250 (80mg/20g)</t>
  </si>
  <si>
    <t>SiL-90 (80mg/20g)</t>
  </si>
  <si>
    <t>SiL-40 (80mg/20g)</t>
  </si>
  <si>
    <t>Crystal (100mg/20g)</t>
  </si>
  <si>
    <t>SiL-250 (100mg/20g)</t>
  </si>
  <si>
    <t>SiL-90 (100mg/20g)</t>
  </si>
  <si>
    <t>SiL-40 (100mg/20g)</t>
  </si>
  <si>
    <t>Crystal (120mg/20g)</t>
  </si>
  <si>
    <t>SiL-250 (120mg/20g)</t>
  </si>
  <si>
    <t>SiL-90 (120mg/20g)</t>
  </si>
  <si>
    <t>SiL-40 (120mg/20g)</t>
  </si>
  <si>
    <t>MWCNT</t>
  </si>
  <si>
    <t>Mass</t>
  </si>
  <si>
    <t>Delta T</t>
  </si>
  <si>
    <t>Drymix</t>
  </si>
  <si>
    <t>SDBS</t>
  </si>
  <si>
    <t>Crystal (140mg/20g)</t>
  </si>
  <si>
    <t>SiL-250 (140mg/20g)</t>
  </si>
  <si>
    <t>SiL-90 (140mg/20g)</t>
  </si>
  <si>
    <t>Sil90</t>
  </si>
  <si>
    <t>SiL-40 (140mg/20g)</t>
  </si>
  <si>
    <t>Crystal (160mg/20g)</t>
  </si>
  <si>
    <t>SiL-90 (160mg/20g)</t>
  </si>
  <si>
    <t>SiL-40 (160mg/20g)</t>
  </si>
  <si>
    <t>SiL-250 (160mg/20g)</t>
  </si>
  <si>
    <t>Crystal (180mg/20g)</t>
  </si>
  <si>
    <t>SiL-40 (180mg/20g)</t>
  </si>
  <si>
    <t>SiL-90 (180mg/20g)</t>
  </si>
  <si>
    <t>sil40</t>
  </si>
  <si>
    <r>
      <t>T</t>
    </r>
    <r>
      <rPr>
        <vertAlign val="subscript"/>
        <sz val="11"/>
        <color rgb="FFFF0000"/>
        <rFont val="Calibri"/>
        <family val="2"/>
        <scheme val="minor"/>
      </rPr>
      <t>o</t>
    </r>
  </si>
  <si>
    <r>
      <t>T</t>
    </r>
    <r>
      <rPr>
        <vertAlign val="subscript"/>
        <sz val="11"/>
        <color rgb="FF002060"/>
        <rFont val="Calibri"/>
        <family val="2"/>
        <scheme val="minor"/>
      </rPr>
      <t>o</t>
    </r>
  </si>
  <si>
    <t>SiL90</t>
  </si>
  <si>
    <t>SiL40</t>
  </si>
  <si>
    <t>mass</t>
  </si>
  <si>
    <t>delta T</t>
  </si>
  <si>
    <t>Crystal (200mg/20g)</t>
  </si>
  <si>
    <t>SiL-90 (200mg/20g)</t>
  </si>
  <si>
    <t>SiL-40 (200mg/20g)</t>
  </si>
  <si>
    <t>CTAB/Crystal</t>
  </si>
  <si>
    <t>Validation</t>
  </si>
  <si>
    <t>MWCNT Added (mg)</t>
  </si>
  <si>
    <t>Calibration curve:</t>
  </si>
  <si>
    <t>y=21.899x+2.0194</t>
  </si>
  <si>
    <t>Difference (%)</t>
  </si>
  <si>
    <t>CTAB/MWCNT-Crystal</t>
  </si>
  <si>
    <t>SiL-40 (220mg/20g)</t>
  </si>
  <si>
    <t>SWCNT/CTAB</t>
  </si>
  <si>
    <t>SiL-90 (220mg/20g)</t>
  </si>
  <si>
    <t>crystal 40mg/20g</t>
  </si>
  <si>
    <t>4mg mwcnt/20g sand</t>
  </si>
  <si>
    <t>soil</t>
  </si>
  <si>
    <t>8mgMWCNT</t>
  </si>
  <si>
    <r>
      <t>T</t>
    </r>
    <r>
      <rPr>
        <vertAlign val="subscript"/>
        <sz val="11"/>
        <color rgb="FF00B050"/>
        <rFont val="Times New Roman"/>
        <family val="1"/>
      </rPr>
      <t>o</t>
    </r>
  </si>
  <si>
    <t>12mg</t>
  </si>
  <si>
    <t>Reading from curves (mg)</t>
    <phoneticPr fontId="3" type="noConversion"/>
  </si>
  <si>
    <t>100W20S</t>
    <phoneticPr fontId="3" type="noConversion"/>
  </si>
  <si>
    <t>130W20S</t>
    <phoneticPr fontId="3" type="noConversion"/>
  </si>
  <si>
    <t>130W30S</t>
    <phoneticPr fontId="3" type="noConversion"/>
  </si>
  <si>
    <t>133W, 15sec</t>
  </si>
  <si>
    <t>Low Concentration</t>
  </si>
  <si>
    <t>df=</t>
  </si>
  <si>
    <r>
      <t>t</t>
    </r>
    <r>
      <rPr>
        <vertAlign val="subscript"/>
        <sz val="11"/>
        <color theme="1"/>
        <rFont val="Times New Roman"/>
        <family val="1"/>
      </rPr>
      <t>0.99</t>
    </r>
  </si>
  <si>
    <t>MDL=STD*t value=</t>
  </si>
  <si>
    <t>mgMWCNT/0.1gsoil</t>
  </si>
  <si>
    <t>MWCNT(mg)</t>
  </si>
  <si>
    <t>∆T (℃)</t>
  </si>
  <si>
    <t>Sample1</t>
  </si>
  <si>
    <t>Sample2</t>
  </si>
  <si>
    <t>Sample3</t>
  </si>
  <si>
    <t>Sample4</t>
  </si>
  <si>
    <t>Sample5</t>
  </si>
  <si>
    <t>Sample6</t>
  </si>
  <si>
    <t>Sample7</t>
  </si>
  <si>
    <t>STD</t>
  </si>
  <si>
    <t>SWCNT(mg)</t>
  </si>
  <si>
    <t>M-COOH</t>
  </si>
  <si>
    <t>M-COOH(mg)</t>
  </si>
  <si>
    <t>ugMWCNT/gsand</t>
  </si>
  <si>
    <t>ugSWCNT/gsand</t>
  </si>
  <si>
    <t>ugM-COOH/gsand</t>
  </si>
  <si>
    <t>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</si>
</sst>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vertAlign val="subscript"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vertAlign val="subscript"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Calibri"/>
      <family val="2"/>
      <scheme val="minor"/>
    </font>
    <font>
      <sz val="11"/>
      <color rgb="FF00B050"/>
      <name val="Times New Roman"/>
      <family val="1"/>
    </font>
    <font>
      <vertAlign val="subscript"/>
      <sz val="11"/>
      <color rgb="FF00B050"/>
      <name val="Times New Roman"/>
      <family val="1"/>
    </font>
    <font>
      <vertAlign val="subscript"/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4">
    <xf numFmtId="0" fontId="0" fillId="0" borderId="0" xfId="0"/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3" xfId="0" applyFill="1" applyBorder="1"/>
    <xf numFmtId="0" fontId="4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4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/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11" xfId="0" applyFont="1" applyBorder="1"/>
    <xf numFmtId="0" fontId="12" fillId="0" borderId="3" xfId="0" applyFont="1" applyBorder="1"/>
    <xf numFmtId="0" fontId="12" fillId="0" borderId="0" xfId="0" applyFont="1" applyBorder="1"/>
    <xf numFmtId="0" fontId="12" fillId="0" borderId="5" xfId="0" applyFont="1" applyFill="1" applyBorder="1"/>
    <xf numFmtId="0" fontId="12" fillId="0" borderId="9" xfId="0" applyFont="1" applyFill="1" applyBorder="1"/>
    <xf numFmtId="0" fontId="12" fillId="0" borderId="9" xfId="0" applyFont="1" applyBorder="1"/>
    <xf numFmtId="0" fontId="12" fillId="0" borderId="0" xfId="0" applyFont="1" applyFill="1" applyBorder="1"/>
    <xf numFmtId="0" fontId="13" fillId="0" borderId="0" xfId="0" applyFont="1"/>
    <xf numFmtId="0" fontId="14" fillId="2" borderId="0" xfId="0" applyFont="1" applyFill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4" fillId="0" borderId="10" xfId="0" applyFont="1" applyBorder="1"/>
    <xf numFmtId="0" fontId="14" fillId="0" borderId="3" xfId="0" applyFont="1" applyBorder="1"/>
    <xf numFmtId="0" fontId="14" fillId="0" borderId="0" xfId="0" applyFont="1" applyBorder="1"/>
    <xf numFmtId="16" fontId="14" fillId="0" borderId="0" xfId="0" applyNumberFormat="1" applyFont="1"/>
    <xf numFmtId="0" fontId="14" fillId="0" borderId="5" xfId="0" applyFont="1" applyBorder="1"/>
    <xf numFmtId="0" fontId="12" fillId="0" borderId="5" xfId="0" applyFont="1" applyBorder="1"/>
    <xf numFmtId="0" fontId="0" fillId="0" borderId="0" xfId="0"/>
    <xf numFmtId="0" fontId="14" fillId="0" borderId="7" xfId="0" applyFont="1" applyBorder="1"/>
    <xf numFmtId="0" fontId="14" fillId="0" borderId="11" xfId="0" applyFont="1" applyBorder="1"/>
    <xf numFmtId="0" fontId="14" fillId="0" borderId="5" xfId="0" applyFont="1" applyFill="1" applyBorder="1"/>
    <xf numFmtId="0" fontId="14" fillId="0" borderId="9" xfId="0" applyFont="1" applyFill="1" applyBorder="1"/>
    <xf numFmtId="0" fontId="14" fillId="0" borderId="9" xfId="0" applyFont="1" applyBorder="1"/>
    <xf numFmtId="0" fontId="14" fillId="0" borderId="6" xfId="0" applyFont="1" applyBorder="1"/>
    <xf numFmtId="0" fontId="0" fillId="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11" xfId="0" applyBorder="1"/>
    <xf numFmtId="0" fontId="0" fillId="0" borderId="0" xfId="0" applyBorder="1"/>
    <xf numFmtId="0" fontId="13" fillId="0" borderId="3" xfId="0" applyFont="1" applyBorder="1"/>
    <xf numFmtId="0" fontId="0" fillId="0" borderId="4" xfId="0" applyFill="1" applyBorder="1"/>
    <xf numFmtId="0" fontId="0" fillId="0" borderId="9" xfId="0" applyFill="1" applyBorder="1"/>
    <xf numFmtId="0" fontId="0" fillId="0" borderId="6" xfId="0" applyFill="1" applyBorder="1"/>
    <xf numFmtId="0" fontId="0" fillId="0" borderId="1" xfId="0" applyBorder="1"/>
    <xf numFmtId="0" fontId="0" fillId="0" borderId="10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1" fillId="3" borderId="7" xfId="0" applyFont="1" applyFill="1" applyBorder="1"/>
    <xf numFmtId="0" fontId="11" fillId="3" borderId="11" xfId="0" applyFont="1" applyFill="1" applyBorder="1"/>
    <xf numFmtId="0" fontId="11" fillId="3" borderId="8" xfId="0" applyFont="1" applyFill="1" applyBorder="1"/>
    <xf numFmtId="0" fontId="11" fillId="3" borderId="3" xfId="0" applyFont="1" applyFill="1" applyBorder="1"/>
    <xf numFmtId="0" fontId="11" fillId="3" borderId="0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0" fontId="11" fillId="3" borderId="9" xfId="0" applyFont="1" applyFill="1" applyBorder="1"/>
    <xf numFmtId="0" fontId="11" fillId="3" borderId="6" xfId="0" applyFont="1" applyFill="1" applyBorder="1"/>
    <xf numFmtId="0" fontId="11" fillId="2" borderId="1" xfId="0" applyFont="1" applyFill="1" applyBorder="1"/>
    <xf numFmtId="0" fontId="17" fillId="2" borderId="2" xfId="0" applyFont="1" applyFill="1" applyBorder="1" applyAlignment="1">
      <alignment horizontal="center"/>
    </xf>
    <xf numFmtId="0" fontId="11" fillId="2" borderId="0" xfId="0" applyFont="1" applyFill="1"/>
    <xf numFmtId="0" fontId="11" fillId="0" borderId="7" xfId="0" applyFont="1" applyBorder="1"/>
    <xf numFmtId="0" fontId="11" fillId="0" borderId="8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MWCNT -Crystal sand</a:t>
            </a:r>
          </a:p>
        </c:rich>
      </c:tx>
      <c:layout>
        <c:manualLayout>
          <c:xMode val="edge"/>
          <c:yMode val="edge"/>
          <c:x val="0.32507498400155815"/>
          <c:y val="1.296026248031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60381268130957"/>
          <c:y val="6.6965295916100676E-2"/>
          <c:w val="0.84203018372703409"/>
          <c:h val="0.77281771808127631"/>
        </c:manualLayout>
      </c:layout>
      <c:scatterChart>
        <c:scatterStyle val="lineMarker"/>
        <c:varyColors val="0"/>
        <c:ser>
          <c:idx val="3"/>
          <c:order val="3"/>
          <c:tx>
            <c:v>100W, 20s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4881417504063785"/>
                  <c:y val="0.39877212130661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Plot!$E$2:$E$10</c:f>
              <c:numCache>
                <c:formatCode>General</c:formatCode>
                <c:ptCount val="9"/>
                <c:pt idx="0">
                  <c:v>0</c:v>
                </c:pt>
                <c:pt idx="1">
                  <c:v>8.5630407616780699E-4</c:v>
                </c:pt>
                <c:pt idx="2">
                  <c:v>7.8000000000000014E-2</c:v>
                </c:pt>
                <c:pt idx="3">
                  <c:v>5.2000000000000005E-2</c:v>
                </c:pt>
                <c:pt idx="4">
                  <c:v>2.7639999999999998E-2</c:v>
                </c:pt>
                <c:pt idx="5">
                  <c:v>0.1148</c:v>
                </c:pt>
                <c:pt idx="6">
                  <c:v>0.26200000000000001</c:v>
                </c:pt>
                <c:pt idx="7">
                  <c:v>0.40674937965260549</c:v>
                </c:pt>
                <c:pt idx="8">
                  <c:v>0.51200000000000001</c:v>
                </c:pt>
              </c:numCache>
            </c:numRef>
          </c:xVal>
          <c:yVal>
            <c:numRef>
              <c:f>Plot!$F$2:$F$10</c:f>
              <c:numCache>
                <c:formatCode>General</c:formatCode>
                <c:ptCount val="9"/>
                <c:pt idx="0">
                  <c:v>0</c:v>
                </c:pt>
                <c:pt idx="1">
                  <c:v>0.33695252757982175</c:v>
                </c:pt>
                <c:pt idx="2">
                  <c:v>1.7786951140969101</c:v>
                </c:pt>
                <c:pt idx="3">
                  <c:v>1.3043395143697001</c:v>
                </c:pt>
                <c:pt idx="4">
                  <c:v>0.83735217674686169</c:v>
                </c:pt>
                <c:pt idx="5">
                  <c:v>3.4894560867223801</c:v>
                </c:pt>
                <c:pt idx="6">
                  <c:v>8.5324985404311668</c:v>
                </c:pt>
                <c:pt idx="7">
                  <c:v>11.719857109776587</c:v>
                </c:pt>
                <c:pt idx="8">
                  <c:v>15.110709673804624</c:v>
                </c:pt>
              </c:numCache>
            </c:numRef>
          </c:yVal>
          <c:smooth val="0"/>
        </c:ser>
        <c:ser>
          <c:idx val="4"/>
          <c:order val="4"/>
          <c:tx>
            <c:v>130W, 20s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4881417504063785"/>
                  <c:y val="0.370652789688417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Plot!$E$2:$E$10</c:f>
              <c:numCache>
                <c:formatCode>General</c:formatCode>
                <c:ptCount val="9"/>
                <c:pt idx="0">
                  <c:v>0</c:v>
                </c:pt>
                <c:pt idx="1">
                  <c:v>8.5630407616780699E-4</c:v>
                </c:pt>
                <c:pt idx="2">
                  <c:v>7.8000000000000014E-2</c:v>
                </c:pt>
                <c:pt idx="3">
                  <c:v>5.2000000000000005E-2</c:v>
                </c:pt>
                <c:pt idx="4">
                  <c:v>2.7639999999999998E-2</c:v>
                </c:pt>
                <c:pt idx="5">
                  <c:v>0.1148</c:v>
                </c:pt>
                <c:pt idx="6">
                  <c:v>0.26200000000000001</c:v>
                </c:pt>
                <c:pt idx="7">
                  <c:v>0.40674937965260549</c:v>
                </c:pt>
                <c:pt idx="8">
                  <c:v>0.51200000000000001</c:v>
                </c:pt>
              </c:numCache>
            </c:numRef>
          </c:xVal>
          <c:yVal>
            <c:numRef>
              <c:f>Plot!$G$2:$G$10</c:f>
              <c:numCache>
                <c:formatCode>General</c:formatCode>
                <c:ptCount val="9"/>
                <c:pt idx="0">
                  <c:v>0</c:v>
                </c:pt>
                <c:pt idx="1">
                  <c:v>0.51678900000000005</c:v>
                </c:pt>
                <c:pt idx="2">
                  <c:v>2.3925875470584299</c:v>
                </c:pt>
                <c:pt idx="3">
                  <c:v>1.5218471897749699</c:v>
                </c:pt>
                <c:pt idx="4">
                  <c:v>1.2157935926791299</c:v>
                </c:pt>
                <c:pt idx="5">
                  <c:v>3.8758400000000002</c:v>
                </c:pt>
                <c:pt idx="6">
                  <c:v>9.7290632000000006</c:v>
                </c:pt>
                <c:pt idx="7">
                  <c:v>15.0859878</c:v>
                </c:pt>
                <c:pt idx="8">
                  <c:v>18.193000000000001</c:v>
                </c:pt>
              </c:numCache>
            </c:numRef>
          </c:yVal>
          <c:smooth val="0"/>
        </c:ser>
        <c:ser>
          <c:idx val="5"/>
          <c:order val="5"/>
          <c:tx>
            <c:v>130W, 30s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3977088562086684"/>
                  <c:y val="0.332639224552376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Plot!$E$2:$E$10</c:f>
              <c:numCache>
                <c:formatCode>General</c:formatCode>
                <c:ptCount val="9"/>
                <c:pt idx="0">
                  <c:v>0</c:v>
                </c:pt>
                <c:pt idx="1">
                  <c:v>8.5630407616780699E-4</c:v>
                </c:pt>
                <c:pt idx="2">
                  <c:v>7.8000000000000014E-2</c:v>
                </c:pt>
                <c:pt idx="3">
                  <c:v>5.2000000000000005E-2</c:v>
                </c:pt>
                <c:pt idx="4">
                  <c:v>2.7639999999999998E-2</c:v>
                </c:pt>
                <c:pt idx="5">
                  <c:v>0.1148</c:v>
                </c:pt>
                <c:pt idx="6">
                  <c:v>0.26200000000000001</c:v>
                </c:pt>
                <c:pt idx="7">
                  <c:v>0.40674937965260549</c:v>
                </c:pt>
                <c:pt idx="8">
                  <c:v>0.51200000000000001</c:v>
                </c:pt>
              </c:numCache>
            </c:numRef>
          </c:xVal>
          <c:yVal>
            <c:numRef>
              <c:f>Plot!$H$2:$H$10</c:f>
              <c:numCache>
                <c:formatCode>General</c:formatCode>
                <c:ptCount val="9"/>
                <c:pt idx="0">
                  <c:v>0</c:v>
                </c:pt>
                <c:pt idx="1">
                  <c:v>0.65348790000000001</c:v>
                </c:pt>
                <c:pt idx="2">
                  <c:v>2.7249254399809502</c:v>
                </c:pt>
                <c:pt idx="3">
                  <c:v>1.8963770506607001</c:v>
                </c:pt>
                <c:pt idx="4">
                  <c:v>1.3733493312209468</c:v>
                </c:pt>
                <c:pt idx="5">
                  <c:v>4.7293026999999999</c:v>
                </c:pt>
                <c:pt idx="6">
                  <c:v>11.094783919999999</c:v>
                </c:pt>
                <c:pt idx="7">
                  <c:v>17.159368203</c:v>
                </c:pt>
                <c:pt idx="8">
                  <c:v>21.639852999999999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91880"/>
        <c:axId val="11149148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v>DryMix (no surfactant)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rgbClr val="FF6600"/>
                    </a:solidFill>
                    <a:ln w="9525">
                      <a:solidFill>
                        <a:srgbClr val="FF6600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olid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0.12161523979113918"/>
                        <c:y val="0.18434005700323314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1200" b="0" i="0" u="none" strike="noStrike" kern="1200" baseline="0">
                            <a:solidFill>
                              <a:sysClr val="windowText" lastClr="000000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Plot!$I$7:$I$10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0.12809999999999999</c:v>
                      </c:pt>
                      <c:pt idx="1">
                        <c:v>0.23859999999999998</c:v>
                      </c:pt>
                      <c:pt idx="2">
                        <c:v>0.34260000000000002</c:v>
                      </c:pt>
                      <c:pt idx="3">
                        <c:v>0.52559999999999996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Plot!$J$7:$J$10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0.34654515067013136</c:v>
                      </c:pt>
                      <c:pt idx="1">
                        <c:v>2.208538485082304</c:v>
                      </c:pt>
                      <c:pt idx="2">
                        <c:v>3.748387321733663</c:v>
                      </c:pt>
                      <c:pt idx="3">
                        <c:v>6.6225809826005104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0"/>
                <c:order val="1"/>
                <c:tx>
                  <c:v>MWCNT/SDBS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7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olid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6.682507442753402E-2"/>
                        <c:y val="0.1929925574893750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1200" b="0" i="0" u="none" strike="noStrike" kern="1200" baseline="0">
                            <a:solidFill>
                              <a:sysClr val="windowText" lastClr="000000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Plot!$L$6:$L$12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0.46970297029702979</c:v>
                      </c:pt>
                      <c:pt idx="1">
                        <c:v>0.34957816377171219</c:v>
                      </c:pt>
                      <c:pt idx="2">
                        <c:v>0.25970149253731345</c:v>
                      </c:pt>
                      <c:pt idx="3">
                        <c:v>0.12698254364089775</c:v>
                      </c:pt>
                      <c:pt idx="4">
                        <c:v>0.65876543209876537</c:v>
                      </c:pt>
                      <c:pt idx="5">
                        <c:v>0.71598622725036898</c:v>
                      </c:pt>
                      <c:pt idx="6">
                        <c:v>0.91177042801556429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Plot!$M$6:$M$12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8.6475168852518074</c:v>
                      </c:pt>
                      <c:pt idx="1">
                        <c:v>7.5051565471384691</c:v>
                      </c:pt>
                      <c:pt idx="2">
                        <c:v>6.6314827878166938</c:v>
                      </c:pt>
                      <c:pt idx="3">
                        <c:v>4.4333751161918009</c:v>
                      </c:pt>
                      <c:pt idx="4">
                        <c:v>9.3220585180555897</c:v>
                      </c:pt>
                      <c:pt idx="5">
                        <c:v>9.7085727577550749</c:v>
                      </c:pt>
                      <c:pt idx="6">
                        <c:v>10.499917596573699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[1]Plot!$G$2</c15:sqref>
                        </c15:formulaRef>
                      </c:ext>
                    </c:extLst>
                    <c:strCache>
                      <c:ptCount val="1"/>
                      <c:pt idx="0">
                        <c:v>PureMWCNT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[1]Plot!$H$4:$H$10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3.6</c:v>
                      </c:pt>
                      <c:pt idx="1">
                        <c:v>2.7</c:v>
                      </c:pt>
                      <c:pt idx="2">
                        <c:v>3</c:v>
                      </c:pt>
                      <c:pt idx="3">
                        <c:v>3.3</c:v>
                      </c:pt>
                      <c:pt idx="4">
                        <c:v>4.2</c:v>
                      </c:pt>
                      <c:pt idx="5">
                        <c:v>4.0999999999999996</c:v>
                      </c:pt>
                      <c:pt idx="6">
                        <c:v>2.8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[1]Plot!$I$4:$I$10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87.542650851169299</c:v>
                      </c:pt>
                      <c:pt idx="1">
                        <c:v>63.387122058100829</c:v>
                      </c:pt>
                      <c:pt idx="2">
                        <c:v>69.632105954414953</c:v>
                      </c:pt>
                      <c:pt idx="3">
                        <c:v>86.276797132301155</c:v>
                      </c:pt>
                      <c:pt idx="4">
                        <c:v>109.97858553997196</c:v>
                      </c:pt>
                      <c:pt idx="5">
                        <c:v>97.12000025033953</c:v>
                      </c:pt>
                      <c:pt idx="6">
                        <c:v>73.783476578204429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111491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491488"/>
        <c:crosses val="autoZero"/>
        <c:crossBetween val="midCat"/>
      </c:valAx>
      <c:valAx>
        <c:axId val="1114914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491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790100442391692"/>
          <c:y val="0.12943590041568845"/>
          <c:w val="0.16269674302570508"/>
          <c:h val="0.21051743532058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MWCNT/CTAB Dispersion</a:t>
            </a:r>
            <a:r>
              <a:rPr lang="en-US" baseline="0"/>
              <a:t> with 4 types sands</a:t>
            </a:r>
            <a:endParaRPr lang="en-US"/>
          </a:p>
        </c:rich>
      </c:tx>
      <c:layout>
        <c:manualLayout>
          <c:xMode val="edge"/>
          <c:yMode val="edge"/>
          <c:x val="0.38055345209508395"/>
          <c:y val="9.60063230732522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50703498128308"/>
          <c:y val="8.2721233919834089E-2"/>
          <c:w val="0.84328018372703406"/>
          <c:h val="0.75259950382914464"/>
        </c:manualLayout>
      </c:layout>
      <c:scatterChart>
        <c:scatterStyle val="lineMarker"/>
        <c:varyColors val="0"/>
        <c:ser>
          <c:idx val="3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6600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9.7403696878315738E-2"/>
                  <c:y val="-4.75551777618706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Plot!$E$3:$E$10</c:f>
              <c:numCache>
                <c:formatCode>General</c:formatCode>
                <c:ptCount val="8"/>
                <c:pt idx="0">
                  <c:v>8.5630407616780699E-4</c:v>
                </c:pt>
                <c:pt idx="1">
                  <c:v>7.8000000000000014E-2</c:v>
                </c:pt>
                <c:pt idx="2">
                  <c:v>5.2000000000000005E-2</c:v>
                </c:pt>
                <c:pt idx="3">
                  <c:v>2.7639999999999998E-2</c:v>
                </c:pt>
                <c:pt idx="4">
                  <c:v>0.1148</c:v>
                </c:pt>
                <c:pt idx="5">
                  <c:v>0.26200000000000001</c:v>
                </c:pt>
                <c:pt idx="6">
                  <c:v>0.40674937965260549</c:v>
                </c:pt>
                <c:pt idx="7">
                  <c:v>0.51200000000000001</c:v>
                </c:pt>
              </c:numCache>
            </c:numRef>
          </c:xVal>
          <c:yVal>
            <c:numRef>
              <c:f>Plot!$F$3:$F$10</c:f>
              <c:numCache>
                <c:formatCode>General</c:formatCode>
                <c:ptCount val="8"/>
                <c:pt idx="0">
                  <c:v>0.33695252757982175</c:v>
                </c:pt>
                <c:pt idx="1">
                  <c:v>1.7786951140969101</c:v>
                </c:pt>
                <c:pt idx="2">
                  <c:v>1.3043395143697001</c:v>
                </c:pt>
                <c:pt idx="3">
                  <c:v>0.83735217674686169</c:v>
                </c:pt>
                <c:pt idx="4">
                  <c:v>3.4894560867223801</c:v>
                </c:pt>
                <c:pt idx="5">
                  <c:v>8.5324985404311668</c:v>
                </c:pt>
                <c:pt idx="6">
                  <c:v>11.719857109776587</c:v>
                </c:pt>
                <c:pt idx="7">
                  <c:v>15.110709673804624</c:v>
                </c:pt>
              </c:numCache>
            </c:numRef>
          </c:yVal>
          <c:smooth val="0"/>
        </c:ser>
        <c:ser>
          <c:idx val="2"/>
          <c:order val="3"/>
          <c:tx>
            <c:v>SiL250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40554568976750249"/>
                  <c:y val="-5.51366022429014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Plot!$S$7:$S$10</c:f>
              <c:numCache>
                <c:formatCode>General</c:formatCode>
                <c:ptCount val="4"/>
                <c:pt idx="0">
                  <c:v>0.1148</c:v>
                </c:pt>
                <c:pt idx="1">
                  <c:v>0.1653</c:v>
                </c:pt>
                <c:pt idx="2">
                  <c:v>0.29399999999999998</c:v>
                </c:pt>
                <c:pt idx="3">
                  <c:v>0.36720000000000003</c:v>
                </c:pt>
              </c:numCache>
            </c:numRef>
          </c:xVal>
          <c:yVal>
            <c:numRef>
              <c:f>Plot!$T$7:$T$10</c:f>
              <c:numCache>
                <c:formatCode>General</c:formatCode>
                <c:ptCount val="4"/>
                <c:pt idx="0">
                  <c:v>1.8538365873000999</c:v>
                </c:pt>
                <c:pt idx="1">
                  <c:v>3.0879475526778499</c:v>
                </c:pt>
                <c:pt idx="2">
                  <c:v>5.68233352496227</c:v>
                </c:pt>
                <c:pt idx="3">
                  <c:v>6.8544204446328001</c:v>
                </c:pt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5010614098769568"/>
                  <c:y val="-0.167657480314960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Plot!$Q$33:$Q$37</c:f>
              <c:numCache>
                <c:formatCode>General</c:formatCode>
                <c:ptCount val="5"/>
                <c:pt idx="0">
                  <c:v>0.22639999999999999</c:v>
                </c:pt>
                <c:pt idx="1">
                  <c:v>0.34920000000000001</c:v>
                </c:pt>
                <c:pt idx="2">
                  <c:v>0.43120000000000003</c:v>
                </c:pt>
                <c:pt idx="3">
                  <c:v>0.48059999999999997</c:v>
                </c:pt>
                <c:pt idx="4">
                  <c:v>0.53</c:v>
                </c:pt>
              </c:numCache>
            </c:numRef>
          </c:xVal>
          <c:yVal>
            <c:numRef>
              <c:f>Plot!$R$33:$R$37</c:f>
              <c:numCache>
                <c:formatCode>General</c:formatCode>
                <c:ptCount val="5"/>
                <c:pt idx="0">
                  <c:v>1.3846423855210439</c:v>
                </c:pt>
                <c:pt idx="1">
                  <c:v>3.79</c:v>
                </c:pt>
                <c:pt idx="2">
                  <c:v>5.0490151948066639</c:v>
                </c:pt>
                <c:pt idx="3">
                  <c:v>6.6267175203592119</c:v>
                </c:pt>
                <c:pt idx="4">
                  <c:v>7.4718151969799607</c:v>
                </c:pt>
              </c:numCache>
            </c:numRef>
          </c:yVal>
          <c:smooth val="0"/>
        </c:ser>
        <c:ser>
          <c:idx val="5"/>
          <c:order val="5"/>
          <c:tx>
            <c:v>Sil40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5537558868971166"/>
                  <c:y val="0.211675912670007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Plot!$T$33:$T$37</c:f>
              <c:numCache>
                <c:formatCode>General</c:formatCode>
                <c:ptCount val="5"/>
                <c:pt idx="0">
                  <c:v>0.36620000000000003</c:v>
                </c:pt>
                <c:pt idx="1">
                  <c:v>0.40079999999999999</c:v>
                </c:pt>
                <c:pt idx="2">
                  <c:v>0.47339999999999993</c:v>
                </c:pt>
                <c:pt idx="3">
                  <c:v>0.52300000000000002</c:v>
                </c:pt>
                <c:pt idx="4">
                  <c:v>0.55990000000000006</c:v>
                </c:pt>
              </c:numCache>
            </c:numRef>
          </c:xVal>
          <c:yVal>
            <c:numRef>
              <c:f>Plot!$U$33:$U$37</c:f>
              <c:numCache>
                <c:formatCode>General</c:formatCode>
                <c:ptCount val="5"/>
                <c:pt idx="0">
                  <c:v>2.02</c:v>
                </c:pt>
                <c:pt idx="1">
                  <c:v>2.5</c:v>
                </c:pt>
                <c:pt idx="2">
                  <c:v>4.2659801105249464</c:v>
                </c:pt>
                <c:pt idx="3">
                  <c:v>5.5260238066926171</c:v>
                </c:pt>
                <c:pt idx="4">
                  <c:v>5.9</c:v>
                </c:pt>
              </c:numCache>
            </c:numRef>
          </c:yVal>
          <c:smooth val="0"/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4283293311740289"/>
                  <c:y val="2.71271772846575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Plot!$A$6:$A$11</c:f>
              <c:numCache>
                <c:formatCode>General</c:formatCode>
                <c:ptCount val="6"/>
                <c:pt idx="0">
                  <c:v>0.1353</c:v>
                </c:pt>
                <c:pt idx="1">
                  <c:v>0.29099999999999998</c:v>
                </c:pt>
                <c:pt idx="2">
                  <c:v>0.3987</c:v>
                </c:pt>
                <c:pt idx="3">
                  <c:v>0.54600000000000004</c:v>
                </c:pt>
                <c:pt idx="4">
                  <c:v>0.69</c:v>
                </c:pt>
                <c:pt idx="5">
                  <c:v>2.76E-2</c:v>
                </c:pt>
              </c:numCache>
            </c:numRef>
          </c:xVal>
          <c:yVal>
            <c:numRef>
              <c:f>Plot!$B$6:$B$11</c:f>
              <c:numCache>
                <c:formatCode>General</c:formatCode>
                <c:ptCount val="6"/>
                <c:pt idx="0">
                  <c:v>3.5869891099327411</c:v>
                </c:pt>
                <c:pt idx="1">
                  <c:v>6.3096176868449199</c:v>
                </c:pt>
                <c:pt idx="2">
                  <c:v>8.8025278629379091</c:v>
                </c:pt>
                <c:pt idx="3">
                  <c:v>11.4973098932093</c:v>
                </c:pt>
                <c:pt idx="4">
                  <c:v>15.1551337632617</c:v>
                </c:pt>
                <c:pt idx="5">
                  <c:v>0.45860493883996706</c:v>
                </c:pt>
              </c:numCache>
            </c:numRef>
          </c:yVal>
          <c:smooth val="0"/>
        </c:ser>
        <c:ser>
          <c:idx val="7"/>
          <c:order val="7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Plot!$A$13:$A$16</c:f>
              <c:numCache>
                <c:formatCode>General</c:formatCode>
                <c:ptCount val="4"/>
                <c:pt idx="0">
                  <c:v>1.584E-2</c:v>
                </c:pt>
                <c:pt idx="1">
                  <c:v>2.9279999999999994E-2</c:v>
                </c:pt>
                <c:pt idx="2">
                  <c:v>4.3726500000000001E-2</c:v>
                </c:pt>
                <c:pt idx="3">
                  <c:v>7.3499999999999996E-2</c:v>
                </c:pt>
              </c:numCache>
            </c:numRef>
          </c:xVal>
          <c:yVal>
            <c:numRef>
              <c:f>Plot!$B$13:$B$16</c:f>
              <c:numCache>
                <c:formatCode>General</c:formatCode>
                <c:ptCount val="4"/>
                <c:pt idx="0">
                  <c:v>1.5681369941316099</c:v>
                </c:pt>
                <c:pt idx="1">
                  <c:v>1.9773601578092701</c:v>
                </c:pt>
                <c:pt idx="2">
                  <c:v>2.4</c:v>
                </c:pt>
                <c:pt idx="3">
                  <c:v>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92664"/>
        <c:axId val="11149305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SDBS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[1]Plot!$N$4:$N$12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4.6215139442231087E-2</c:v>
                      </c:pt>
                      <c:pt idx="1">
                        <c:v>0.123</c:v>
                      </c:pt>
                      <c:pt idx="2">
                        <c:v>0.16320000000000001</c:v>
                      </c:pt>
                      <c:pt idx="3">
                        <c:v>0.22600000000000003</c:v>
                      </c:pt>
                      <c:pt idx="4">
                        <c:v>0.16289999999999999</c:v>
                      </c:pt>
                      <c:pt idx="5">
                        <c:v>0.51839999999999997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[1]Plot!$O$4:$O$12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0.90310355443381596</c:v>
                      </c:pt>
                      <c:pt idx="1">
                        <c:v>0.68033118130750481</c:v>
                      </c:pt>
                      <c:pt idx="2">
                        <c:v>1.2064353350660539</c:v>
                      </c:pt>
                      <c:pt idx="3">
                        <c:v>0.6726012034774449</c:v>
                      </c:pt>
                      <c:pt idx="4">
                        <c:v>1.1897646599867713</c:v>
                      </c:pt>
                      <c:pt idx="5">
                        <c:v>1.5460886982732021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v>DryMix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7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[1]Plot!$Q$4:$Q$5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8.1699999999999995E-2</c:v>
                      </c:pt>
                      <c:pt idx="1">
                        <c:v>0.29199999999999998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[1]Plot!$R$4:$R$5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0.15851111164754528</c:v>
                      </c:pt>
                      <c:pt idx="1">
                        <c:v>0.33397229516339522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111492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2629046369203855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493056"/>
        <c:crosses val="autoZero"/>
        <c:crossBetween val="midCat"/>
      </c:valAx>
      <c:valAx>
        <c:axId val="111493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 T (°C)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4720290172061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492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3349771819063158"/>
          <c:y val="0.15634361742518035"/>
          <c:w val="0.10080586735168742"/>
          <c:h val="0.43538833214030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SWCNT -Crystal sand</a:t>
            </a:r>
          </a:p>
        </c:rich>
      </c:tx>
      <c:layout>
        <c:manualLayout>
          <c:xMode val="edge"/>
          <c:yMode val="edge"/>
          <c:x val="0.32507498400155815"/>
          <c:y val="1.296026248031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91957833962248"/>
          <c:y val="4.4987165065905221E-2"/>
          <c:w val="0.84203018372703409"/>
          <c:h val="0.77281771808127631"/>
        </c:manualLayout>
      </c:layout>
      <c:scatterChart>
        <c:scatterStyle val="lineMarker"/>
        <c:varyColors val="0"/>
        <c:ser>
          <c:idx val="3"/>
          <c:order val="0"/>
          <c:tx>
            <c:v>100W, 20s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2466736178525623"/>
                  <c:y val="0.307207453028767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Plot!$A$4:$A$11</c:f>
              <c:numCache>
                <c:formatCode>General</c:formatCode>
                <c:ptCount val="8"/>
                <c:pt idx="0">
                  <c:v>5.1999999999999998E-2</c:v>
                </c:pt>
                <c:pt idx="1">
                  <c:v>0</c:v>
                </c:pt>
                <c:pt idx="2">
                  <c:v>0.1353</c:v>
                </c:pt>
                <c:pt idx="3">
                  <c:v>0.29099999999999998</c:v>
                </c:pt>
                <c:pt idx="4">
                  <c:v>0.3987</c:v>
                </c:pt>
                <c:pt idx="5">
                  <c:v>0.54600000000000004</c:v>
                </c:pt>
                <c:pt idx="6">
                  <c:v>0.69</c:v>
                </c:pt>
                <c:pt idx="7">
                  <c:v>2.76E-2</c:v>
                </c:pt>
              </c:numCache>
            </c:numRef>
          </c:xVal>
          <c:yVal>
            <c:numRef>
              <c:f>Plot!$B$4:$B$11</c:f>
              <c:numCache>
                <c:formatCode>General</c:formatCode>
                <c:ptCount val="8"/>
                <c:pt idx="0">
                  <c:v>0.68065961629170668</c:v>
                </c:pt>
                <c:pt idx="1">
                  <c:v>0</c:v>
                </c:pt>
                <c:pt idx="2">
                  <c:v>3.5869891099327411</c:v>
                </c:pt>
                <c:pt idx="3">
                  <c:v>6.3096176868449199</c:v>
                </c:pt>
                <c:pt idx="4">
                  <c:v>8.8025278629379091</c:v>
                </c:pt>
                <c:pt idx="5">
                  <c:v>11.4973098932093</c:v>
                </c:pt>
                <c:pt idx="6">
                  <c:v>15.1551337632617</c:v>
                </c:pt>
                <c:pt idx="7">
                  <c:v>0.45860493883996706</c:v>
                </c:pt>
              </c:numCache>
            </c:numRef>
          </c:yVal>
          <c:smooth val="0"/>
        </c:ser>
        <c:ser>
          <c:idx val="4"/>
          <c:order val="1"/>
          <c:tx>
            <c:v>130W, 20s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5584470302446762"/>
                  <c:y val="-1.50996510051628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Plot!$A$4:$A$11</c:f>
              <c:numCache>
                <c:formatCode>General</c:formatCode>
                <c:ptCount val="8"/>
                <c:pt idx="0">
                  <c:v>5.1999999999999998E-2</c:v>
                </c:pt>
                <c:pt idx="1">
                  <c:v>0</c:v>
                </c:pt>
                <c:pt idx="2">
                  <c:v>0.1353</c:v>
                </c:pt>
                <c:pt idx="3">
                  <c:v>0.29099999999999998</c:v>
                </c:pt>
                <c:pt idx="4">
                  <c:v>0.3987</c:v>
                </c:pt>
                <c:pt idx="5">
                  <c:v>0.54600000000000004</c:v>
                </c:pt>
                <c:pt idx="6">
                  <c:v>0.69</c:v>
                </c:pt>
                <c:pt idx="7">
                  <c:v>2.76E-2</c:v>
                </c:pt>
              </c:numCache>
            </c:numRef>
          </c:xVal>
          <c:yVal>
            <c:numRef>
              <c:f>Plot!$C$4:$C$11</c:f>
              <c:numCache>
                <c:formatCode>General</c:formatCode>
                <c:ptCount val="8"/>
                <c:pt idx="0">
                  <c:v>1.2749265384489601</c:v>
                </c:pt>
                <c:pt idx="1">
                  <c:v>0</c:v>
                </c:pt>
                <c:pt idx="2">
                  <c:v>3.85894</c:v>
                </c:pt>
                <c:pt idx="3">
                  <c:v>7.9587599999999998</c:v>
                </c:pt>
                <c:pt idx="4">
                  <c:v>10.587634</c:v>
                </c:pt>
                <c:pt idx="5">
                  <c:v>14.7548902</c:v>
                </c:pt>
                <c:pt idx="6">
                  <c:v>17.892761</c:v>
                </c:pt>
                <c:pt idx="7">
                  <c:v>0.792296417293883</c:v>
                </c:pt>
              </c:numCache>
            </c:numRef>
          </c:yVal>
          <c:smooth val="0"/>
        </c:ser>
        <c:ser>
          <c:idx val="5"/>
          <c:order val="2"/>
          <c:tx>
            <c:v>130W, 30s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1696225014465911"/>
                  <c:y val="3.19359118571716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Plot!$A$4:$A$11</c:f>
              <c:numCache>
                <c:formatCode>General</c:formatCode>
                <c:ptCount val="8"/>
                <c:pt idx="0">
                  <c:v>5.1999999999999998E-2</c:v>
                </c:pt>
                <c:pt idx="1">
                  <c:v>0</c:v>
                </c:pt>
                <c:pt idx="2">
                  <c:v>0.1353</c:v>
                </c:pt>
                <c:pt idx="3">
                  <c:v>0.29099999999999998</c:v>
                </c:pt>
                <c:pt idx="4">
                  <c:v>0.3987</c:v>
                </c:pt>
                <c:pt idx="5">
                  <c:v>0.54600000000000004</c:v>
                </c:pt>
                <c:pt idx="6">
                  <c:v>0.69</c:v>
                </c:pt>
                <c:pt idx="7">
                  <c:v>2.76E-2</c:v>
                </c:pt>
              </c:numCache>
            </c:numRef>
          </c:xVal>
          <c:yVal>
            <c:numRef>
              <c:f>Plot!$D$4:$D$11</c:f>
              <c:numCache>
                <c:formatCode>General</c:formatCode>
                <c:ptCount val="8"/>
                <c:pt idx="0">
                  <c:v>1.53842636993251</c:v>
                </c:pt>
                <c:pt idx="1">
                  <c:v>0</c:v>
                </c:pt>
                <c:pt idx="2">
                  <c:v>4.5678900000000002</c:v>
                </c:pt>
                <c:pt idx="3">
                  <c:v>9.3786400000000008</c:v>
                </c:pt>
                <c:pt idx="4">
                  <c:v>12.789634</c:v>
                </c:pt>
                <c:pt idx="5">
                  <c:v>18.240279999999998</c:v>
                </c:pt>
                <c:pt idx="6">
                  <c:v>22.382719000000002</c:v>
                </c:pt>
                <c:pt idx="7">
                  <c:v>0.67889297063561982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93840"/>
        <c:axId val="111494232"/>
        <c:extLst/>
      </c:scatterChart>
      <c:valAx>
        <c:axId val="11149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494232"/>
        <c:crosses val="autoZero"/>
        <c:crossBetween val="midCat"/>
      </c:valAx>
      <c:valAx>
        <c:axId val="11149423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493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11464271400699"/>
          <c:y val="0.60196331227827293"/>
          <c:w val="0.17402002310886061"/>
          <c:h val="0.21051743532058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123823</xdr:colOff>
      <xdr:row>15</xdr:row>
      <xdr:rowOff>28576</xdr:rowOff>
    </xdr:from>
    <xdr:to>
      <xdr:col>12</xdr:col>
      <xdr:colOff>85724</xdr:colOff>
      <xdr:row>35</xdr:row>
      <xdr:rowOff>66676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495300</xdr:colOff>
      <xdr:row>15</xdr:row>
      <xdr:rowOff>9525</xdr:rowOff>
    </xdr:from>
    <xdr:to>
      <xdr:col>21</xdr:col>
      <xdr:colOff>57150</xdr:colOff>
      <xdr:row>32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47625</xdr:colOff>
      <xdr:row>14</xdr:row>
      <xdr:rowOff>76200</xdr:rowOff>
    </xdr:from>
    <xdr:to>
      <xdr:col>12</xdr:col>
      <xdr:colOff>95250</xdr:colOff>
      <xdr:row>34</xdr:row>
      <xdr:rowOff>114300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2015%20WetMix%20SDBS%20MWC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1"/>
      <sheetName val="Stock2"/>
      <sheetName val="Stock3"/>
      <sheetName val="Stock 4"/>
      <sheetName val="Stock 5"/>
      <sheetName val="Stock 6"/>
      <sheetName val="Stock7"/>
      <sheetName val="Stock8"/>
      <sheetName val="Stock9"/>
      <sheetName val="Organic Solvent"/>
      <sheetName val="Pl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PureMWCNT</v>
          </cell>
        </row>
        <row r="4">
          <cell r="H4">
            <v>3.6</v>
          </cell>
          <cell r="I4">
            <v>87.542650851169299</v>
          </cell>
          <cell r="N4">
            <v>4.6215139442231087E-2</v>
          </cell>
          <cell r="O4">
            <v>0.90310355443381596</v>
          </cell>
          <cell r="Q4">
            <v>8.1699999999999995E-2</v>
          </cell>
          <cell r="R4">
            <v>0.15851111164754528</v>
          </cell>
        </row>
        <row r="5">
          <cell r="H5">
            <v>2.7</v>
          </cell>
          <cell r="I5">
            <v>63.387122058100829</v>
          </cell>
          <cell r="N5">
            <v>0.123</v>
          </cell>
          <cell r="O5">
            <v>0.68033118130750481</v>
          </cell>
          <cell r="Q5">
            <v>0.29199999999999998</v>
          </cell>
          <cell r="R5">
            <v>0.33397229516339522</v>
          </cell>
        </row>
        <row r="6">
          <cell r="H6">
            <v>3</v>
          </cell>
          <cell r="I6">
            <v>69.632105954414953</v>
          </cell>
          <cell r="N6">
            <v>0.16320000000000001</v>
          </cell>
          <cell r="O6">
            <v>1.2064353350660539</v>
          </cell>
        </row>
        <row r="7">
          <cell r="H7">
            <v>3.3</v>
          </cell>
          <cell r="I7">
            <v>86.276797132301155</v>
          </cell>
          <cell r="N7">
            <v>0.22600000000000003</v>
          </cell>
          <cell r="O7">
            <v>0.6726012034774449</v>
          </cell>
        </row>
        <row r="8">
          <cell r="H8">
            <v>4.2</v>
          </cell>
          <cell r="I8">
            <v>109.97858553997196</v>
          </cell>
          <cell r="N8">
            <v>0.16289999999999999</v>
          </cell>
          <cell r="O8">
            <v>1.1897646599867713</v>
          </cell>
        </row>
        <row r="9">
          <cell r="H9">
            <v>4.0999999999999996</v>
          </cell>
          <cell r="I9">
            <v>97.12000025033953</v>
          </cell>
          <cell r="N9">
            <v>0.51839999999999997</v>
          </cell>
          <cell r="O9">
            <v>1.5460886982732021</v>
          </cell>
        </row>
        <row r="10">
          <cell r="H10">
            <v>2.8</v>
          </cell>
          <cell r="I10">
            <v>73.783476578204429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1"/>
  <sheetViews>
    <sheetView workbookViewId="0">
      <selection activeCell="Q23" sqref="Q23"/>
    </sheetView>
  </sheetViews>
  <sheetFormatPr defaultRowHeight="15"/>
  <sheetData>
    <row r="1" spans="2:46">
      <c r="C1" s="21">
        <v>42132</v>
      </c>
    </row>
    <row r="2" spans="2:46" ht="18">
      <c r="B2" t="s">
        <v>11</v>
      </c>
      <c r="T2" s="21">
        <v>42290</v>
      </c>
      <c r="U2" s="463" t="s">
        <v>2</v>
      </c>
      <c r="V2" s="463" t="s">
        <v>3</v>
      </c>
      <c r="W2" s="463" t="s">
        <v>4</v>
      </c>
      <c r="X2" s="463" t="s">
        <v>5</v>
      </c>
      <c r="Y2" s="2" t="s">
        <v>6</v>
      </c>
    </row>
    <row r="3" spans="2:46">
      <c r="G3">
        <f>K6/F5</f>
        <v>30.395958943575181</v>
      </c>
      <c r="H3">
        <f>G3*0.027</f>
        <v>0.82069089147652985</v>
      </c>
      <c r="T3" s="463">
        <f>0.1898-0.0436</f>
        <v>0.1462</v>
      </c>
      <c r="U3" s="463">
        <v>20</v>
      </c>
      <c r="V3" s="463">
        <v>100</v>
      </c>
      <c r="W3" s="465">
        <v>24.085567837093343</v>
      </c>
      <c r="X3" s="464">
        <v>28.382465295938601</v>
      </c>
      <c r="Y3" s="463">
        <f>X3-W3</f>
        <v>4.2968974588452582</v>
      </c>
      <c r="Z3">
        <f>Y3/T3</f>
        <v>29.390543494153615</v>
      </c>
    </row>
    <row r="4" spans="2:46">
      <c r="D4" t="s">
        <v>0</v>
      </c>
      <c r="F4" s="1" t="s">
        <v>1</v>
      </c>
      <c r="T4" s="465">
        <f>0.1539-0.0163</f>
        <v>0.1376</v>
      </c>
      <c r="U4" s="465">
        <v>20</v>
      </c>
      <c r="V4" s="465">
        <v>100</v>
      </c>
      <c r="W4" s="467">
        <v>24.087803011405637</v>
      </c>
      <c r="X4" s="466">
        <v>27.5119580335592</v>
      </c>
      <c r="Y4" s="467">
        <f>X4-W4</f>
        <v>3.4241550221535633</v>
      </c>
      <c r="Z4">
        <f>Y4/T4</f>
        <v>24.884847544720664</v>
      </c>
    </row>
    <row r="5" spans="2:46" ht="18">
      <c r="F5">
        <f>0.1148</f>
        <v>0.1148</v>
      </c>
      <c r="G5" t="s">
        <v>2</v>
      </c>
      <c r="H5" t="s">
        <v>3</v>
      </c>
      <c r="I5" t="s">
        <v>4</v>
      </c>
      <c r="J5" t="s">
        <v>5</v>
      </c>
      <c r="K5" s="2" t="s">
        <v>6</v>
      </c>
      <c r="M5" s="4">
        <f>0.144-0.0015</f>
        <v>0.14249999999999999</v>
      </c>
      <c r="N5" s="4" t="s">
        <v>2</v>
      </c>
      <c r="O5" s="4" t="s">
        <v>3</v>
      </c>
      <c r="P5" s="4" t="s">
        <v>4</v>
      </c>
      <c r="Q5" s="4" t="s">
        <v>5</v>
      </c>
      <c r="R5" s="2" t="s">
        <v>6</v>
      </c>
      <c r="T5" s="300"/>
      <c r="U5" s="300"/>
      <c r="V5" s="300"/>
      <c r="W5" s="300"/>
      <c r="X5" s="300"/>
      <c r="Y5" s="2">
        <v>3.448345866700766</v>
      </c>
      <c r="AA5" s="300"/>
      <c r="AB5" s="300"/>
      <c r="AC5" s="300"/>
      <c r="AD5" s="300"/>
      <c r="AE5" s="300"/>
      <c r="AF5" s="2"/>
      <c r="AH5" s="300"/>
      <c r="AI5" s="300"/>
      <c r="AJ5" s="300"/>
      <c r="AK5" s="300"/>
      <c r="AL5" s="300"/>
      <c r="AM5" s="2"/>
    </row>
    <row r="6" spans="2:46">
      <c r="G6">
        <v>20</v>
      </c>
      <c r="H6">
        <v>100</v>
      </c>
      <c r="I6" s="4">
        <v>26.957766828403869</v>
      </c>
      <c r="J6" s="3">
        <v>30.4472229151263</v>
      </c>
      <c r="K6">
        <f>J6-I6</f>
        <v>3.4894560867224307</v>
      </c>
      <c r="L6" s="467">
        <f>K6/F5</f>
        <v>30.395958943575181</v>
      </c>
      <c r="M6" s="4"/>
      <c r="N6" s="4">
        <v>20</v>
      </c>
      <c r="O6" s="4">
        <v>100</v>
      </c>
      <c r="P6" s="6">
        <v>27.489179521154135</v>
      </c>
      <c r="Q6" s="5">
        <v>30.937525387854901</v>
      </c>
      <c r="R6" s="4">
        <f>Q6-P6</f>
        <v>3.448345866700766</v>
      </c>
      <c r="S6">
        <f>R6/M5</f>
        <v>24.198918362812396</v>
      </c>
      <c r="T6" s="300"/>
      <c r="U6" s="300"/>
      <c r="V6" s="300"/>
      <c r="W6" s="300"/>
      <c r="X6" s="300">
        <f>AVERAGE(Y3:Y6)</f>
        <v>3.6647136086055045</v>
      </c>
      <c r="Y6" s="300">
        <v>3.4894560867224307</v>
      </c>
      <c r="Z6">
        <f>_xlfn.STDEV.S(Y3:Y6)</f>
        <v>0.42231704233244288</v>
      </c>
      <c r="AA6" s="300"/>
      <c r="AB6" s="300"/>
      <c r="AC6" s="300"/>
      <c r="AD6" s="300"/>
      <c r="AE6" s="300"/>
      <c r="AF6" s="300"/>
      <c r="AH6" s="300"/>
      <c r="AI6" s="300"/>
      <c r="AJ6" s="300"/>
      <c r="AK6" s="300"/>
      <c r="AL6" s="300"/>
      <c r="AM6" s="300"/>
    </row>
    <row r="7" spans="2:46">
      <c r="D7" t="s">
        <v>7</v>
      </c>
      <c r="F7" s="1" t="s">
        <v>8</v>
      </c>
      <c r="AA7" s="322">
        <v>42208</v>
      </c>
    </row>
    <row r="8" spans="2:46" ht="18">
      <c r="F8">
        <f>0.068-0.0031</f>
        <v>6.4899999999999999E-2</v>
      </c>
      <c r="G8" t="s">
        <v>2</v>
      </c>
      <c r="H8" t="s">
        <v>3</v>
      </c>
      <c r="I8" t="s">
        <v>4</v>
      </c>
      <c r="J8" t="s">
        <v>5</v>
      </c>
      <c r="K8" s="2" t="s">
        <v>6</v>
      </c>
      <c r="M8" s="6">
        <f>0.0529-0</f>
        <v>5.2900000000000003E-2</v>
      </c>
      <c r="N8" s="6" t="s">
        <v>2</v>
      </c>
      <c r="O8" s="6" t="s">
        <v>3</v>
      </c>
      <c r="P8" s="6" t="s">
        <v>4</v>
      </c>
      <c r="Q8" s="6" t="s">
        <v>5</v>
      </c>
      <c r="R8" s="2" t="s">
        <v>6</v>
      </c>
      <c r="T8" s="10">
        <f>0.0567-0.0067</f>
        <v>0.05</v>
      </c>
      <c r="U8" s="10" t="s">
        <v>2</v>
      </c>
      <c r="V8" s="10" t="s">
        <v>3</v>
      </c>
      <c r="W8" s="10" t="s">
        <v>4</v>
      </c>
      <c r="X8" s="10" t="s">
        <v>5</v>
      </c>
      <c r="Y8" s="2" t="s">
        <v>6</v>
      </c>
      <c r="AA8" s="300">
        <f>0.0945-0.0318</f>
        <v>6.2700000000000006E-2</v>
      </c>
      <c r="AB8" s="300" t="s">
        <v>2</v>
      </c>
      <c r="AC8" s="300" t="s">
        <v>3</v>
      </c>
      <c r="AD8" s="300" t="s">
        <v>4</v>
      </c>
      <c r="AE8" s="300" t="s">
        <v>5</v>
      </c>
      <c r="AF8" s="2" t="s">
        <v>6</v>
      </c>
      <c r="AH8" s="300"/>
      <c r="AI8" s="300"/>
      <c r="AJ8" s="300"/>
      <c r="AK8" s="300"/>
      <c r="AL8" s="300"/>
      <c r="AM8" s="2"/>
      <c r="AO8" s="301"/>
      <c r="AP8" s="301"/>
      <c r="AQ8" s="301"/>
      <c r="AR8" s="301"/>
      <c r="AS8" s="301"/>
      <c r="AT8" s="2"/>
    </row>
    <row r="9" spans="2:46">
      <c r="G9">
        <v>20</v>
      </c>
      <c r="H9">
        <v>100</v>
      </c>
      <c r="I9" s="8">
        <v>27.31418399895335</v>
      </c>
      <c r="J9" s="7">
        <v>28.520433069493357</v>
      </c>
      <c r="K9">
        <f>J9-I9</f>
        <v>1.2062490705400073</v>
      </c>
      <c r="M9" s="6"/>
      <c r="N9" s="6">
        <v>20</v>
      </c>
      <c r="O9" s="6">
        <v>100</v>
      </c>
      <c r="P9" s="10">
        <v>25.952590313708217</v>
      </c>
      <c r="Q9" s="9">
        <v>31.425135220595319</v>
      </c>
      <c r="R9" s="6">
        <f>Q9-P9</f>
        <v>5.4725449068871015</v>
      </c>
      <c r="T9" s="10"/>
      <c r="U9" s="10">
        <v>20</v>
      </c>
      <c r="V9" s="10">
        <v>100</v>
      </c>
      <c r="W9" s="12">
        <v>26.431476410119327</v>
      </c>
      <c r="X9" s="11">
        <v>31.633751489743684</v>
      </c>
      <c r="Y9" s="10">
        <f>X9-W9</f>
        <v>5.2022750796243571</v>
      </c>
      <c r="AA9" s="300"/>
      <c r="AB9" s="300">
        <v>20</v>
      </c>
      <c r="AC9" s="300">
        <v>100</v>
      </c>
      <c r="AD9" s="303">
        <v>24.105218744589024</v>
      </c>
      <c r="AE9" s="302">
        <v>24.455768582568677</v>
      </c>
      <c r="AF9" s="300">
        <f>AE9-AD9</f>
        <v>0.35054983797965278</v>
      </c>
      <c r="AH9" s="300"/>
      <c r="AI9" s="300"/>
      <c r="AJ9" s="300"/>
      <c r="AK9" s="300"/>
      <c r="AL9" s="300"/>
      <c r="AM9" s="300"/>
      <c r="AO9" s="301"/>
      <c r="AP9" s="301"/>
      <c r="AQ9" s="301"/>
      <c r="AR9" s="301"/>
      <c r="AS9" s="301"/>
      <c r="AT9" s="301"/>
    </row>
    <row r="10" spans="2:46">
      <c r="D10" t="s">
        <v>7</v>
      </c>
      <c r="F10" s="1" t="s">
        <v>9</v>
      </c>
    </row>
    <row r="11" spans="2:46" ht="18">
      <c r="F11">
        <f>0.0517-0.0046</f>
        <v>4.7100000000000003E-2</v>
      </c>
      <c r="G11" t="s">
        <v>2</v>
      </c>
      <c r="H11" t="s">
        <v>3</v>
      </c>
      <c r="I11" t="s">
        <v>4</v>
      </c>
      <c r="J11" t="s">
        <v>5</v>
      </c>
      <c r="K11" s="2" t="s">
        <v>6</v>
      </c>
      <c r="M11" s="14">
        <f>0.0431-0.0025</f>
        <v>4.0599999999999997E-2</v>
      </c>
      <c r="N11" s="14" t="s">
        <v>2</v>
      </c>
      <c r="O11" s="14" t="s">
        <v>3</v>
      </c>
      <c r="P11" s="14" t="s">
        <v>4</v>
      </c>
      <c r="Q11" s="14" t="s">
        <v>5</v>
      </c>
      <c r="R11" s="2" t="s">
        <v>6</v>
      </c>
    </row>
    <row r="12" spans="2:46">
      <c r="G12">
        <v>20</v>
      </c>
      <c r="H12">
        <v>100</v>
      </c>
      <c r="I12" s="14">
        <v>26.289356576761993</v>
      </c>
      <c r="J12" s="13">
        <v>26.725494964450299</v>
      </c>
      <c r="K12">
        <f>J12-I12</f>
        <v>0.43613838768830604</v>
      </c>
      <c r="M12" s="14"/>
      <c r="N12" s="14">
        <v>20</v>
      </c>
      <c r="O12" s="14">
        <v>100</v>
      </c>
      <c r="P12" s="16">
        <v>26.625284649448663</v>
      </c>
      <c r="Q12" s="15">
        <v>27.109386152588488</v>
      </c>
      <c r="R12" s="14">
        <f>Q12-P12</f>
        <v>0.4841015031398257</v>
      </c>
    </row>
    <row r="13" spans="2:46">
      <c r="D13" t="s">
        <v>7</v>
      </c>
      <c r="F13" s="1" t="s">
        <v>10</v>
      </c>
    </row>
    <row r="14" spans="2:46" ht="18">
      <c r="F14">
        <f>0.0469-0.0006</f>
        <v>4.6299999999999994E-2</v>
      </c>
      <c r="G14" t="s">
        <v>2</v>
      </c>
      <c r="H14" t="s">
        <v>3</v>
      </c>
      <c r="I14" t="s">
        <v>4</v>
      </c>
      <c r="J14" t="s">
        <v>5</v>
      </c>
      <c r="K14" s="2" t="s">
        <v>6</v>
      </c>
      <c r="M14" s="18">
        <f>0.0378-0.0006</f>
        <v>3.7199999999999997E-2</v>
      </c>
      <c r="N14" s="18" t="s">
        <v>2</v>
      </c>
      <c r="O14" s="18" t="s">
        <v>3</v>
      </c>
      <c r="P14" s="18" t="s">
        <v>4</v>
      </c>
      <c r="Q14" s="18" t="s">
        <v>5</v>
      </c>
      <c r="R14" s="2" t="s">
        <v>6</v>
      </c>
    </row>
    <row r="15" spans="2:46">
      <c r="G15">
        <v>20</v>
      </c>
      <c r="H15">
        <v>100</v>
      </c>
      <c r="I15" s="18">
        <v>26.294851380279756</v>
      </c>
      <c r="J15" s="17">
        <v>26.638043769481417</v>
      </c>
      <c r="K15">
        <f>J15-I15</f>
        <v>0.34319238920166129</v>
      </c>
      <c r="M15" s="18"/>
      <c r="N15" s="18">
        <v>20</v>
      </c>
      <c r="O15" s="18">
        <v>100</v>
      </c>
      <c r="P15" s="20">
        <v>27.313811469901285</v>
      </c>
      <c r="Q15" s="19">
        <v>27.49430179561983</v>
      </c>
      <c r="R15" s="18">
        <f>Q15-P15</f>
        <v>0.1804903257185444</v>
      </c>
    </row>
    <row r="19" spans="4:17">
      <c r="D19" t="s">
        <v>23</v>
      </c>
      <c r="N19" s="516">
        <v>0</v>
      </c>
      <c r="O19" s="517">
        <v>3.1256895260000001E-3</v>
      </c>
      <c r="P19" s="517">
        <v>3.1256895260000001E-3</v>
      </c>
      <c r="Q19" s="518">
        <v>3.1256895260000001E-3</v>
      </c>
    </row>
    <row r="20" spans="4:17">
      <c r="F20" s="1" t="s">
        <v>24</v>
      </c>
      <c r="G20" s="88"/>
      <c r="H20" s="88"/>
      <c r="I20" s="88"/>
      <c r="J20" s="88"/>
      <c r="K20" s="88"/>
      <c r="N20" s="519">
        <v>8.5630407616780731E-4</v>
      </c>
      <c r="O20" s="520">
        <v>0.56789100000000003</v>
      </c>
      <c r="P20" s="520">
        <v>0.57891599999999999</v>
      </c>
      <c r="Q20" s="521">
        <v>0.49789159999999999</v>
      </c>
    </row>
    <row r="21" spans="4:17" ht="18">
      <c r="F21" s="88">
        <f>0.1192-0.0002</f>
        <v>0.11899999999999999</v>
      </c>
      <c r="G21" s="88" t="s">
        <v>2</v>
      </c>
      <c r="H21" s="88" t="s">
        <v>3</v>
      </c>
      <c r="I21" s="88" t="s">
        <v>4</v>
      </c>
      <c r="J21" s="88" t="s">
        <v>5</v>
      </c>
      <c r="K21" s="2" t="s">
        <v>6</v>
      </c>
      <c r="N21" s="519">
        <v>7.8000000000000014E-2</v>
      </c>
      <c r="O21" s="520">
        <v>2.2016466976193811</v>
      </c>
      <c r="P21" s="520">
        <v>2.4716790899999999</v>
      </c>
      <c r="Q21" s="521">
        <v>2.3839275099999999</v>
      </c>
    </row>
    <row r="22" spans="4:17">
      <c r="F22" s="88"/>
      <c r="G22" s="88">
        <v>20</v>
      </c>
      <c r="H22" s="88">
        <v>100</v>
      </c>
      <c r="I22" s="90">
        <v>25.452097532278152</v>
      </c>
      <c r="J22" s="89">
        <v>25.473611085034086</v>
      </c>
      <c r="K22" s="88">
        <f>J22-I22</f>
        <v>2.1513552755934029E-2</v>
      </c>
      <c r="N22" s="519">
        <v>5.2000000000000005E-2</v>
      </c>
      <c r="O22" s="520">
        <v>1.4218471897749723</v>
      </c>
      <c r="P22" s="520">
        <v>1.5441329207499521</v>
      </c>
      <c r="Q22" s="521">
        <v>1.5051314833837992</v>
      </c>
    </row>
    <row r="23" spans="4:17">
      <c r="F23" s="1" t="s">
        <v>25</v>
      </c>
      <c r="G23" s="88"/>
      <c r="H23" s="88"/>
      <c r="I23" s="88"/>
      <c r="J23" s="88"/>
      <c r="K23" s="88"/>
      <c r="N23" s="519">
        <v>2.7639999999999998E-2</v>
      </c>
      <c r="O23" s="520">
        <v>1.17890707724737</v>
      </c>
      <c r="P23" s="520">
        <v>1.3733493312209468</v>
      </c>
      <c r="Q23" s="521">
        <v>1.2702278655903143</v>
      </c>
    </row>
    <row r="24" spans="4:17" ht="18">
      <c r="F24" s="88">
        <f>0.052-0.0002</f>
        <v>5.1799999999999999E-2</v>
      </c>
      <c r="G24" s="88" t="s">
        <v>2</v>
      </c>
      <c r="H24" s="88" t="s">
        <v>3</v>
      </c>
      <c r="I24" s="88" t="s">
        <v>4</v>
      </c>
      <c r="J24" s="88" t="s">
        <v>5</v>
      </c>
      <c r="K24" s="2" t="s">
        <v>6</v>
      </c>
      <c r="N24" s="519">
        <v>0.1148</v>
      </c>
      <c r="O24" s="520">
        <v>3.4894560867224307</v>
      </c>
      <c r="P24" s="520">
        <v>3.448345866700766</v>
      </c>
      <c r="Q24" s="521">
        <v>4.2968974588452582</v>
      </c>
    </row>
    <row r="25" spans="4:17">
      <c r="F25" s="88"/>
      <c r="G25" s="88">
        <v>20</v>
      </c>
      <c r="H25" s="88">
        <v>100</v>
      </c>
      <c r="I25" s="92">
        <v>25.460200039160249</v>
      </c>
      <c r="J25" s="91">
        <v>25.472772894666956</v>
      </c>
      <c r="K25" s="88">
        <f>J25-I25</f>
        <v>1.2572855506707725E-2</v>
      </c>
      <c r="N25" s="519">
        <v>0.26200000000000001</v>
      </c>
      <c r="O25" s="520">
        <v>9.8408415520692802</v>
      </c>
      <c r="P25" s="520">
        <v>9.9458195236813705</v>
      </c>
      <c r="Q25" s="521">
        <v>9.6103059417191705</v>
      </c>
    </row>
    <row r="26" spans="4:17">
      <c r="F26" s="1" t="s">
        <v>26</v>
      </c>
      <c r="G26" s="88"/>
      <c r="H26" s="88"/>
      <c r="I26" s="88"/>
      <c r="J26" s="88"/>
      <c r="K26" s="88"/>
      <c r="N26" s="519">
        <v>0.40674937965260549</v>
      </c>
      <c r="O26" s="520">
        <v>15.110709673804624</v>
      </c>
      <c r="P26" s="520">
        <v>15.627128072209839</v>
      </c>
      <c r="Q26" s="521">
        <v>15.456975427685705</v>
      </c>
    </row>
    <row r="27" spans="4:17" ht="18">
      <c r="F27" s="88">
        <f>0.0446-0.0046</f>
        <v>0.04</v>
      </c>
      <c r="G27" s="88" t="s">
        <v>2</v>
      </c>
      <c r="H27" s="88" t="s">
        <v>3</v>
      </c>
      <c r="I27" s="88" t="s">
        <v>4</v>
      </c>
      <c r="J27" s="88" t="s">
        <v>5</v>
      </c>
      <c r="K27" s="2" t="s">
        <v>6</v>
      </c>
      <c r="N27" s="522">
        <v>0.51200000000000001</v>
      </c>
      <c r="O27" s="523">
        <v>17.649402031266792</v>
      </c>
      <c r="P27" s="523">
        <v>19.317121465034582</v>
      </c>
      <c r="Q27" s="524">
        <v>18.587523316593352</v>
      </c>
    </row>
    <row r="28" spans="4:17">
      <c r="F28" s="88"/>
      <c r="G28" s="88">
        <v>20</v>
      </c>
      <c r="H28" s="88">
        <v>100</v>
      </c>
      <c r="I28" s="94">
        <v>25.123061247054409</v>
      </c>
      <c r="J28" s="93">
        <v>25.456940409954804</v>
      </c>
      <c r="K28" s="88">
        <f>J28-I28</f>
        <v>0.33387916290039499</v>
      </c>
    </row>
    <row r="29" spans="4:17">
      <c r="F29" s="1" t="s">
        <v>27</v>
      </c>
      <c r="G29" s="88"/>
      <c r="H29" s="88"/>
      <c r="I29" s="88"/>
      <c r="J29" s="88"/>
      <c r="K29" s="88"/>
    </row>
    <row r="30" spans="4:17" ht="18">
      <c r="F30" s="88">
        <f>0.056-0.006</f>
        <v>0.05</v>
      </c>
      <c r="G30" s="88" t="s">
        <v>2</v>
      </c>
      <c r="H30" s="88" t="s">
        <v>3</v>
      </c>
      <c r="I30" s="88" t="s">
        <v>4</v>
      </c>
      <c r="J30" s="88" t="s">
        <v>5</v>
      </c>
      <c r="K30" s="2" t="s">
        <v>6</v>
      </c>
    </row>
    <row r="31" spans="4:17">
      <c r="F31" s="88"/>
      <c r="G31" s="88">
        <v>20</v>
      </c>
      <c r="H31" s="88">
        <v>100</v>
      </c>
      <c r="I31" s="96">
        <v>25.455543426009616</v>
      </c>
      <c r="J31" s="95">
        <v>25.64199421656096</v>
      </c>
      <c r="K31" s="88">
        <f>J31-I31</f>
        <v>0.18645079055134417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57"/>
  <sheetViews>
    <sheetView workbookViewId="0">
      <selection activeCell="K12" sqref="K12"/>
    </sheetView>
  </sheetViews>
  <sheetFormatPr defaultRowHeight="15"/>
  <sheetData>
    <row r="2" spans="4:12">
      <c r="D2" s="357"/>
      <c r="E2" s="1" t="s">
        <v>54</v>
      </c>
      <c r="F2" s="357"/>
      <c r="G2" s="51">
        <f>S3/20*140</f>
        <v>0</v>
      </c>
      <c r="H2" s="357"/>
      <c r="I2" s="51"/>
      <c r="J2" s="51"/>
      <c r="K2" s="357"/>
      <c r="L2" s="357"/>
    </row>
    <row r="3" spans="4:12" ht="18">
      <c r="D3" s="357"/>
      <c r="E3" s="357"/>
      <c r="F3" s="357" t="s">
        <v>2</v>
      </c>
      <c r="G3" s="51" t="s">
        <v>3</v>
      </c>
      <c r="H3" s="51" t="s">
        <v>4</v>
      </c>
      <c r="I3" s="51" t="s">
        <v>5</v>
      </c>
      <c r="J3" s="52" t="s">
        <v>6</v>
      </c>
      <c r="K3" s="357"/>
      <c r="L3" s="357"/>
    </row>
    <row r="4" spans="4:12">
      <c r="D4" s="21">
        <v>42223</v>
      </c>
      <c r="E4" s="357">
        <f>0.1346-0.0009</f>
        <v>0.13369999999999999</v>
      </c>
      <c r="F4" s="357">
        <v>20</v>
      </c>
      <c r="G4" s="51">
        <v>100</v>
      </c>
      <c r="H4" s="357">
        <v>25.450048622491877</v>
      </c>
      <c r="I4" s="357">
        <v>41.851571461652007</v>
      </c>
      <c r="J4" s="51">
        <f t="shared" ref="J4:J13" si="0">I4-H4</f>
        <v>16.40152283916013</v>
      </c>
      <c r="K4" s="357"/>
      <c r="L4" s="357"/>
    </row>
    <row r="5" spans="4:12">
      <c r="D5" s="357"/>
      <c r="E5" s="357">
        <f>0.1346-0.0003</f>
        <v>0.1343</v>
      </c>
      <c r="F5" s="357">
        <v>20</v>
      </c>
      <c r="G5" s="51">
        <v>100</v>
      </c>
      <c r="H5" s="357">
        <v>25.46746435567524</v>
      </c>
      <c r="I5" s="357">
        <v>43.178426812793411</v>
      </c>
      <c r="J5" s="51">
        <f t="shared" si="0"/>
        <v>17.710962457118171</v>
      </c>
      <c r="K5" s="357"/>
      <c r="L5" s="357"/>
    </row>
    <row r="6" spans="4:12">
      <c r="D6" s="357"/>
      <c r="E6" s="357">
        <f>0.1336-0.0015</f>
        <v>0.1321</v>
      </c>
      <c r="F6" s="357">
        <v>20</v>
      </c>
      <c r="G6" s="51">
        <v>100</v>
      </c>
      <c r="H6" s="357">
        <v>25.434309270042721</v>
      </c>
      <c r="I6" s="357">
        <v>41.101297950821987</v>
      </c>
      <c r="J6" s="51">
        <f t="shared" si="0"/>
        <v>15.666988680779266</v>
      </c>
      <c r="K6" s="357"/>
      <c r="L6" s="357"/>
    </row>
    <row r="7" spans="4:12">
      <c r="D7" s="357"/>
      <c r="E7" s="357">
        <f>0.1354-0.0005</f>
        <v>0.13489999999999999</v>
      </c>
      <c r="F7" s="357">
        <v>20</v>
      </c>
      <c r="G7" s="51">
        <v>100</v>
      </c>
      <c r="H7" s="357">
        <v>26.552920881087829</v>
      </c>
      <c r="I7" s="357">
        <v>42.356255194917644</v>
      </c>
      <c r="J7" s="51">
        <f t="shared" si="0"/>
        <v>15.803334313829815</v>
      </c>
      <c r="K7" s="357"/>
      <c r="L7" s="357"/>
    </row>
    <row r="8" spans="4:12">
      <c r="D8" s="21">
        <v>42226</v>
      </c>
      <c r="E8" s="357">
        <f>0.1356-0.0005</f>
        <v>0.1351</v>
      </c>
      <c r="F8" s="357">
        <v>20</v>
      </c>
      <c r="G8" s="51">
        <v>100</v>
      </c>
      <c r="H8" s="357">
        <v>28.50692889135652</v>
      </c>
      <c r="I8" s="357">
        <v>46.952052977803518</v>
      </c>
      <c r="J8" s="51">
        <f t="shared" si="0"/>
        <v>18.445124086446999</v>
      </c>
      <c r="K8" s="357"/>
      <c r="L8" s="357"/>
    </row>
    <row r="9" spans="4:12">
      <c r="D9" s="357"/>
      <c r="E9" s="357">
        <f>0.1356-0</f>
        <v>0.1356</v>
      </c>
      <c r="F9" s="357">
        <v>20</v>
      </c>
      <c r="G9" s="51">
        <v>100</v>
      </c>
      <c r="H9" s="357">
        <v>27.832185645829778</v>
      </c>
      <c r="I9" s="357">
        <v>45.56801441717235</v>
      </c>
      <c r="J9" s="51">
        <f t="shared" si="0"/>
        <v>17.735828771342572</v>
      </c>
      <c r="K9" s="357"/>
      <c r="L9" s="357"/>
    </row>
    <row r="10" spans="4:12">
      <c r="D10" s="357"/>
      <c r="E10" s="357">
        <f>0.1352-0.0019</f>
        <v>0.13329999999999997</v>
      </c>
      <c r="F10" s="357">
        <v>20</v>
      </c>
      <c r="G10" s="51">
        <v>100</v>
      </c>
      <c r="H10" s="357">
        <v>28.511958033559193</v>
      </c>
      <c r="I10" s="357">
        <v>44.519903929227823</v>
      </c>
      <c r="J10" s="51">
        <f t="shared" si="0"/>
        <v>16.00794589566863</v>
      </c>
      <c r="K10" s="357"/>
      <c r="L10" s="357"/>
    </row>
    <row r="11" spans="4:12">
      <c r="D11" s="357"/>
      <c r="E11" s="357">
        <f>0.1535-0.0186</f>
        <v>0.13489999999999999</v>
      </c>
      <c r="F11" s="357">
        <v>20</v>
      </c>
      <c r="G11" s="51">
        <v>100</v>
      </c>
      <c r="H11" s="357">
        <v>28.844999006092486</v>
      </c>
      <c r="I11" s="357">
        <v>45.661519209237056</v>
      </c>
      <c r="J11" s="51">
        <f t="shared" si="0"/>
        <v>16.81652020314457</v>
      </c>
      <c r="K11" s="357">
        <f>_xlfn.STDEV.S(J8:J13)</f>
        <v>0.97028945192687577</v>
      </c>
      <c r="L11" s="357"/>
    </row>
    <row r="12" spans="4:12">
      <c r="D12" s="357"/>
      <c r="E12" s="357">
        <f>0.1358</f>
        <v>0.1358</v>
      </c>
      <c r="F12" s="357">
        <v>20</v>
      </c>
      <c r="G12" s="51">
        <v>100</v>
      </c>
      <c r="H12" s="357">
        <v>28.509815991509925</v>
      </c>
      <c r="I12" s="357">
        <v>44.510125041611495</v>
      </c>
      <c r="J12" s="51">
        <f t="shared" si="0"/>
        <v>16.000309050101571</v>
      </c>
      <c r="K12" s="357"/>
      <c r="L12" s="357"/>
    </row>
    <row r="13" spans="4:12">
      <c r="D13" s="21">
        <v>42228</v>
      </c>
      <c r="E13" s="357">
        <f>0.1327</f>
        <v>0.13270000000000001</v>
      </c>
      <c r="F13" s="357">
        <v>20</v>
      </c>
      <c r="G13" s="51">
        <v>100</v>
      </c>
      <c r="H13" s="357">
        <v>25.550165805230492</v>
      </c>
      <c r="I13" s="357">
        <v>42.820240129246727</v>
      </c>
      <c r="J13" s="51">
        <f t="shared" si="0"/>
        <v>17.270074324016235</v>
      </c>
      <c r="K13" s="357"/>
      <c r="L13" s="357"/>
    </row>
    <row r="14" spans="4:12">
      <c r="D14" s="357"/>
      <c r="E14" s="357"/>
      <c r="F14" s="357"/>
      <c r="G14" s="357"/>
      <c r="H14" s="357"/>
      <c r="I14" s="357"/>
      <c r="J14" s="357"/>
      <c r="K14" s="357"/>
      <c r="L14" s="357"/>
    </row>
    <row r="15" spans="4:12">
      <c r="D15" s="357"/>
      <c r="E15" s="319" t="s">
        <v>7</v>
      </c>
      <c r="F15" s="319"/>
      <c r="G15" s="239" t="s">
        <v>53</v>
      </c>
      <c r="H15" s="319"/>
      <c r="I15" s="357"/>
      <c r="J15" s="357"/>
      <c r="K15" s="357"/>
      <c r="L15" s="357"/>
    </row>
    <row r="16" spans="4:12" ht="18">
      <c r="D16" s="319"/>
      <c r="E16" s="319"/>
      <c r="F16" s="319" t="s">
        <v>2</v>
      </c>
      <c r="G16" s="320" t="s">
        <v>3</v>
      </c>
      <c r="H16" s="320" t="s">
        <v>58</v>
      </c>
      <c r="I16" s="320" t="s">
        <v>5</v>
      </c>
      <c r="J16" s="321" t="s">
        <v>6</v>
      </c>
      <c r="K16" s="357"/>
      <c r="L16" s="357"/>
    </row>
    <row r="17" spans="4:13">
      <c r="D17" s="322">
        <v>42226</v>
      </c>
      <c r="E17" s="319">
        <f>0.0668-0.0089</f>
        <v>5.79E-2</v>
      </c>
      <c r="F17" s="319">
        <v>20</v>
      </c>
      <c r="G17" s="320">
        <v>100</v>
      </c>
      <c r="H17" s="319">
        <v>28.502179145942865</v>
      </c>
      <c r="I17" s="319">
        <v>32.251684054832701</v>
      </c>
      <c r="J17" s="320">
        <f t="shared" ref="J17:J19" si="1">I17-H17</f>
        <v>3.7495049088898362</v>
      </c>
      <c r="K17" s="357"/>
      <c r="L17" s="357"/>
    </row>
    <row r="18" spans="4:13">
      <c r="D18" s="319"/>
      <c r="E18" s="319">
        <f>0.0597</f>
        <v>5.9700000000000003E-2</v>
      </c>
      <c r="F18" s="319">
        <v>20</v>
      </c>
      <c r="G18" s="319">
        <v>100</v>
      </c>
      <c r="H18" s="319">
        <v>29.196945828017355</v>
      </c>
      <c r="I18" s="319">
        <v>31.079148863503274</v>
      </c>
      <c r="J18" s="319">
        <f t="shared" si="1"/>
        <v>1.8822030354859187</v>
      </c>
      <c r="K18" s="357"/>
      <c r="L18" s="357"/>
    </row>
    <row r="19" spans="4:13">
      <c r="D19" s="319"/>
      <c r="E19" s="319">
        <f>0.0707-0.0053</f>
        <v>6.54E-2</v>
      </c>
      <c r="F19" s="319">
        <v>20</v>
      </c>
      <c r="G19" s="319">
        <v>100</v>
      </c>
      <c r="H19" s="319">
        <v>27.69621254183129</v>
      </c>
      <c r="I19" s="319">
        <v>30.049292299109243</v>
      </c>
      <c r="J19" s="319">
        <f t="shared" si="1"/>
        <v>2.3530797572779534</v>
      </c>
      <c r="K19" s="357"/>
      <c r="L19" s="357"/>
    </row>
    <row r="20" spans="4:13">
      <c r="D20" s="21"/>
      <c r="E20" s="357"/>
      <c r="F20" s="357"/>
      <c r="G20" s="357"/>
      <c r="H20" s="357"/>
      <c r="I20" s="357"/>
      <c r="J20" s="357"/>
      <c r="K20" s="357"/>
      <c r="L20" s="357"/>
    </row>
    <row r="21" spans="4:13">
      <c r="D21" s="357"/>
      <c r="E21" s="357"/>
      <c r="F21" s="357"/>
      <c r="G21" s="357"/>
      <c r="H21" s="357"/>
      <c r="I21" s="357"/>
      <c r="J21" s="357"/>
      <c r="K21" s="357"/>
      <c r="L21" s="357"/>
    </row>
    <row r="22" spans="4:13">
      <c r="D22" s="357"/>
      <c r="E22" s="357"/>
      <c r="F22" s="357"/>
      <c r="G22" s="357"/>
      <c r="H22" s="357"/>
      <c r="I22" s="357"/>
      <c r="J22" s="357"/>
      <c r="K22" s="357"/>
      <c r="L22" s="357"/>
    </row>
    <row r="23" spans="4:13">
      <c r="D23" s="357"/>
      <c r="E23" s="357"/>
      <c r="F23" s="357"/>
      <c r="G23" s="357"/>
      <c r="H23" s="357"/>
      <c r="I23" s="357"/>
      <c r="J23" s="357"/>
      <c r="K23" s="357"/>
      <c r="L23" s="357"/>
    </row>
    <row r="24" spans="4:13">
      <c r="D24" s="357"/>
      <c r="E24" s="357"/>
      <c r="F24" s="357"/>
      <c r="G24" s="357"/>
      <c r="H24" s="357"/>
      <c r="I24" s="357"/>
      <c r="J24" s="357"/>
      <c r="K24" s="357"/>
      <c r="L24" s="357"/>
    </row>
    <row r="25" spans="4:13">
      <c r="D25" s="357"/>
      <c r="E25" s="357"/>
      <c r="F25" s="357"/>
      <c r="G25" s="357"/>
      <c r="H25" s="357"/>
      <c r="I25" s="357"/>
      <c r="J25" s="357"/>
      <c r="K25" s="357"/>
      <c r="L25" s="357"/>
    </row>
    <row r="26" spans="4:13">
      <c r="D26" s="357"/>
      <c r="E26" s="357"/>
      <c r="F26" s="357"/>
      <c r="G26" s="357"/>
      <c r="H26" s="357"/>
      <c r="I26" s="357"/>
      <c r="J26" s="357"/>
      <c r="K26" s="357"/>
      <c r="L26" s="357"/>
    </row>
    <row r="27" spans="4:13">
      <c r="D27" s="357"/>
      <c r="E27" s="250" t="s">
        <v>56</v>
      </c>
      <c r="F27" s="357"/>
      <c r="G27" s="51"/>
      <c r="H27" s="357"/>
      <c r="I27" s="357"/>
      <c r="J27" s="357"/>
      <c r="K27" s="357"/>
      <c r="L27" s="357"/>
    </row>
    <row r="28" spans="4:13" ht="18">
      <c r="D28" s="357"/>
      <c r="E28" s="357"/>
      <c r="F28" s="357" t="s">
        <v>2</v>
      </c>
      <c r="G28" s="51" t="s">
        <v>3</v>
      </c>
      <c r="H28" s="51" t="s">
        <v>4</v>
      </c>
      <c r="I28" s="51" t="s">
        <v>5</v>
      </c>
      <c r="J28" s="52" t="s">
        <v>6</v>
      </c>
      <c r="K28" s="357"/>
      <c r="L28" s="357"/>
    </row>
    <row r="29" spans="4:13">
      <c r="D29" s="21">
        <v>42226</v>
      </c>
      <c r="E29" s="357">
        <f>0.0686-0.0168</f>
        <v>5.1799999999999999E-2</v>
      </c>
      <c r="F29" s="357">
        <v>20</v>
      </c>
      <c r="G29" s="354">
        <v>100</v>
      </c>
      <c r="H29" s="357">
        <v>28.858596316492346</v>
      </c>
      <c r="I29" s="357">
        <v>36.35024868549398</v>
      </c>
      <c r="J29" s="357">
        <f>I29-H29</f>
        <v>7.4916523690016348</v>
      </c>
      <c r="K29" s="357"/>
      <c r="L29" s="357"/>
    </row>
    <row r="30" spans="4:13">
      <c r="D30" s="357"/>
      <c r="E30" s="357">
        <f>0.0652-0.0111</f>
        <v>5.4099999999999995E-2</v>
      </c>
      <c r="F30" s="357">
        <v>20</v>
      </c>
      <c r="G30" s="357">
        <v>100</v>
      </c>
      <c r="H30" s="357">
        <v>27.313997734427332</v>
      </c>
      <c r="I30" s="357">
        <v>32.597856676450768</v>
      </c>
      <c r="J30" s="357">
        <f>I30-H30</f>
        <v>5.2838589420234356</v>
      </c>
      <c r="K30" s="357"/>
      <c r="L30" s="357"/>
    </row>
    <row r="31" spans="4:13">
      <c r="D31" s="357"/>
      <c r="E31" s="357">
        <f>0.0588-0.0077</f>
        <v>5.11E-2</v>
      </c>
      <c r="F31" s="357">
        <v>20</v>
      </c>
      <c r="G31" s="357">
        <v>100</v>
      </c>
      <c r="H31" s="357">
        <v>28.855895480864962</v>
      </c>
      <c r="I31" s="357">
        <v>34.926163251767363</v>
      </c>
      <c r="J31" s="357">
        <f>I31-H31</f>
        <v>6.0702677709024009</v>
      </c>
      <c r="K31" s="357">
        <f>AVERAGE(J29:J34)</f>
        <v>6.6267175203592119</v>
      </c>
      <c r="L31" s="357"/>
    </row>
    <row r="32" spans="4:13">
      <c r="D32" s="21"/>
      <c r="E32" s="357">
        <f>0.0617-0.0083</f>
        <v>5.3399999999999996E-2</v>
      </c>
      <c r="F32" s="357">
        <v>20</v>
      </c>
      <c r="G32" s="357">
        <v>100</v>
      </c>
      <c r="H32" s="357">
        <v>26.415271396355106</v>
      </c>
      <c r="I32" s="357">
        <v>32.600557512078147</v>
      </c>
      <c r="J32" s="357">
        <f t="shared" ref="J32:J34" si="2">I32-H32</f>
        <v>6.1852861157230414</v>
      </c>
      <c r="K32" s="357">
        <f>_xlfn.STDEV.P(J29:J34)</f>
        <v>0.83454893198321711</v>
      </c>
      <c r="L32" s="357"/>
      <c r="M32">
        <f>E29*9</f>
        <v>0.4662</v>
      </c>
    </row>
    <row r="33" spans="4:12">
      <c r="D33" s="357"/>
      <c r="E33" s="357">
        <f>0.0719-0.0181</f>
        <v>5.3800000000000001E-2</v>
      </c>
      <c r="F33" s="357">
        <v>20</v>
      </c>
      <c r="G33" s="357">
        <v>100</v>
      </c>
      <c r="H33" s="357">
        <v>25.108439481761426</v>
      </c>
      <c r="I33" s="357">
        <v>32.342767408059089</v>
      </c>
      <c r="J33" s="357">
        <f t="shared" si="2"/>
        <v>7.234327926297663</v>
      </c>
      <c r="K33" s="357">
        <f>K32/K31</f>
        <v>0.12593700115015299</v>
      </c>
      <c r="L33" s="357"/>
    </row>
    <row r="34" spans="4:12">
      <c r="D34" s="21"/>
      <c r="E34" s="357">
        <f>0.0755-0.0259</f>
        <v>4.9599999999999998E-2</v>
      </c>
      <c r="F34" s="357">
        <v>20</v>
      </c>
      <c r="G34" s="357">
        <v>100</v>
      </c>
      <c r="H34" s="357">
        <v>25.463273403839672</v>
      </c>
      <c r="I34" s="357">
        <v>32.958185402046773</v>
      </c>
      <c r="J34" s="357">
        <f t="shared" si="2"/>
        <v>7.4949119982071011</v>
      </c>
      <c r="K34" s="357"/>
      <c r="L34" s="357"/>
    </row>
    <row r="35" spans="4:12">
      <c r="D35" s="357"/>
      <c r="E35" s="357"/>
      <c r="F35" s="357"/>
      <c r="G35" s="357"/>
      <c r="H35" s="357"/>
      <c r="I35" s="357"/>
      <c r="J35" s="357"/>
      <c r="K35" s="357"/>
      <c r="L35" s="357"/>
    </row>
    <row r="36" spans="4:12">
      <c r="D36" s="21"/>
      <c r="E36" s="357"/>
      <c r="F36" s="357"/>
      <c r="G36" s="357"/>
      <c r="H36" s="357"/>
      <c r="I36" s="357"/>
      <c r="J36" s="357"/>
      <c r="K36" s="357"/>
      <c r="L36" s="357"/>
    </row>
    <row r="37" spans="4:12">
      <c r="D37" s="357"/>
      <c r="E37" s="357"/>
      <c r="F37" s="357"/>
      <c r="G37" s="357"/>
      <c r="H37" s="357"/>
      <c r="I37" s="357"/>
      <c r="J37" s="357"/>
      <c r="K37" s="357"/>
      <c r="L37" s="357"/>
    </row>
    <row r="38" spans="4:12">
      <c r="D38" s="357"/>
      <c r="E38" s="357"/>
      <c r="F38" s="357"/>
      <c r="G38" s="357"/>
      <c r="H38" s="357"/>
      <c r="I38" s="357"/>
      <c r="J38" s="357"/>
      <c r="K38" s="357"/>
      <c r="L38" s="357"/>
    </row>
    <row r="39" spans="4:12">
      <c r="D39" s="357"/>
      <c r="E39" s="357"/>
      <c r="F39" s="357"/>
      <c r="G39" s="357"/>
      <c r="H39" s="357"/>
      <c r="I39" s="357"/>
      <c r="J39" s="357"/>
      <c r="K39" s="357"/>
      <c r="L39" s="357"/>
    </row>
    <row r="40" spans="4:12">
      <c r="D40" s="357"/>
      <c r="E40" s="357"/>
      <c r="F40" s="357"/>
      <c r="G40" s="357"/>
      <c r="H40" s="357"/>
      <c r="I40" s="357"/>
      <c r="J40" s="357"/>
      <c r="K40" s="357"/>
      <c r="L40" s="357"/>
    </row>
    <row r="41" spans="4:12">
      <c r="D41" s="357"/>
      <c r="E41" s="250" t="s">
        <v>55</v>
      </c>
      <c r="F41" s="357"/>
      <c r="G41" s="357"/>
      <c r="H41" s="357"/>
      <c r="I41" s="357"/>
      <c r="J41" s="357"/>
      <c r="K41" s="357"/>
      <c r="L41" s="357"/>
    </row>
    <row r="42" spans="4:12" ht="18">
      <c r="D42" s="357"/>
      <c r="E42" s="357"/>
      <c r="F42" s="357" t="s">
        <v>2</v>
      </c>
      <c r="G42" s="51" t="s">
        <v>3</v>
      </c>
      <c r="H42" s="51" t="s">
        <v>4</v>
      </c>
      <c r="I42" s="51" t="s">
        <v>5</v>
      </c>
      <c r="J42" s="52" t="s">
        <v>6</v>
      </c>
      <c r="K42" s="357"/>
      <c r="L42" s="357"/>
    </row>
    <row r="43" spans="4:12">
      <c r="D43" s="21">
        <v>42226</v>
      </c>
      <c r="E43" s="357">
        <f>0.0565-0.01</f>
        <v>4.65E-2</v>
      </c>
      <c r="F43" s="357">
        <v>20</v>
      </c>
      <c r="G43" s="51">
        <v>100</v>
      </c>
      <c r="H43" s="357">
        <v>28.186088245277897</v>
      </c>
      <c r="I43" s="357">
        <v>32.193145823070203</v>
      </c>
      <c r="J43" s="357">
        <f>I43-H43</f>
        <v>4.0070575777923061</v>
      </c>
      <c r="K43" s="357">
        <f>J43/E43</f>
        <v>86.173281242845292</v>
      </c>
      <c r="L43" s="357"/>
    </row>
    <row r="44" spans="4:12">
      <c r="D44" s="357"/>
      <c r="E44" s="357">
        <f>0.0563-0.0066</f>
        <v>4.9700000000000001E-2</v>
      </c>
      <c r="F44" s="357">
        <v>20</v>
      </c>
      <c r="G44" s="357">
        <v>100</v>
      </c>
      <c r="H44" s="357">
        <v>25.630911477262465</v>
      </c>
      <c r="I44" s="357">
        <v>29.723981304406006</v>
      </c>
      <c r="J44" s="357">
        <f t="shared" ref="J44:J48" si="3">I44-H44</f>
        <v>4.0930698271435411</v>
      </c>
      <c r="K44" s="357">
        <f t="shared" ref="K44:K48" si="4">J44/E44</f>
        <v>82.35552972119801</v>
      </c>
      <c r="L44" s="357">
        <f>AVERAGE(J43:J48)</f>
        <v>4.2064903402223575</v>
      </c>
    </row>
    <row r="45" spans="4:12">
      <c r="D45" s="357"/>
      <c r="E45" s="357">
        <f>0.0811-0.0274</f>
        <v>5.3700000000000005E-2</v>
      </c>
      <c r="F45" s="357">
        <v>20</v>
      </c>
      <c r="G45" s="357">
        <v>100</v>
      </c>
      <c r="H45" s="357">
        <v>26.638136901744414</v>
      </c>
      <c r="I45" s="357">
        <v>31.083339815338846</v>
      </c>
      <c r="J45" s="357">
        <f t="shared" si="3"/>
        <v>4.4452029135944322</v>
      </c>
      <c r="K45" s="357">
        <f t="shared" si="4"/>
        <v>82.778452767121635</v>
      </c>
      <c r="L45" s="357">
        <f>_xlfn.STDEV.P(J43:J48)</f>
        <v>0.16648451814845955</v>
      </c>
    </row>
    <row r="46" spans="4:12">
      <c r="D46" s="21">
        <v>42228</v>
      </c>
      <c r="E46" s="357">
        <f>0.0565-0.0053</f>
        <v>5.1200000000000002E-2</v>
      </c>
      <c r="F46" s="357">
        <v>20</v>
      </c>
      <c r="G46" s="357">
        <v>100</v>
      </c>
      <c r="H46" s="357">
        <v>25.681854825130387</v>
      </c>
      <c r="I46" s="357">
        <v>30.058512393147485</v>
      </c>
      <c r="J46" s="357">
        <f t="shared" si="3"/>
        <v>4.376657568017098</v>
      </c>
      <c r="K46" s="357">
        <f t="shared" si="4"/>
        <v>85.481593125333944</v>
      </c>
      <c r="L46" s="357">
        <f>L45/L44</f>
        <v>3.9578010332399598E-2</v>
      </c>
    </row>
    <row r="47" spans="4:12">
      <c r="D47" s="357"/>
      <c r="E47" s="357">
        <f>0.0539-0.0049</f>
        <v>4.9000000000000002E-2</v>
      </c>
      <c r="F47" s="357">
        <v>20</v>
      </c>
      <c r="G47" s="357">
        <v>100</v>
      </c>
      <c r="H47" s="357">
        <v>25.631842799892592</v>
      </c>
      <c r="I47" s="357">
        <v>29.682816844154413</v>
      </c>
      <c r="J47" s="357">
        <f t="shared" si="3"/>
        <v>4.0509740442618209</v>
      </c>
      <c r="K47" s="357">
        <f t="shared" si="4"/>
        <v>82.672939678812668</v>
      </c>
      <c r="L47" s="357"/>
    </row>
    <row r="48" spans="4:12">
      <c r="D48" s="357"/>
      <c r="E48" s="357">
        <f>0.0578-0.0052</f>
        <v>5.2599999999999994E-2</v>
      </c>
      <c r="F48" s="357">
        <v>20</v>
      </c>
      <c r="G48" s="357">
        <v>100</v>
      </c>
      <c r="H48" s="357">
        <v>25.629421361054252</v>
      </c>
      <c r="I48" s="357">
        <v>29.895401471579198</v>
      </c>
      <c r="J48" s="357">
        <f t="shared" si="3"/>
        <v>4.2659801105249464</v>
      </c>
      <c r="K48" s="357">
        <f t="shared" si="4"/>
        <v>81.102283470056022</v>
      </c>
      <c r="L48" s="357"/>
    </row>
    <row r="49" spans="4:13">
      <c r="D49" s="357"/>
      <c r="E49" s="357">
        <f>E48*9</f>
        <v>0.47339999999999993</v>
      </c>
      <c r="F49" s="357"/>
      <c r="G49" s="357"/>
      <c r="H49" s="357"/>
      <c r="I49" s="357"/>
      <c r="J49" s="357"/>
      <c r="K49" s="357"/>
      <c r="L49" s="357"/>
    </row>
    <row r="50" spans="4:13">
      <c r="D50" s="357"/>
      <c r="E50" s="357"/>
      <c r="F50" s="357"/>
      <c r="G50" s="357"/>
      <c r="H50" s="357"/>
      <c r="I50" s="357"/>
      <c r="J50" s="357"/>
      <c r="K50" s="357"/>
      <c r="L50" s="357"/>
    </row>
    <row r="51" spans="4:13">
      <c r="E51" s="353"/>
      <c r="F51" s="353"/>
      <c r="G51" s="353"/>
      <c r="H51" s="353"/>
      <c r="I51" s="353"/>
      <c r="J51" s="353"/>
    </row>
    <row r="52" spans="4:13">
      <c r="E52" s="353"/>
      <c r="F52" s="353"/>
      <c r="G52" s="353"/>
      <c r="H52" s="353"/>
      <c r="I52" s="353"/>
      <c r="J52" s="353"/>
    </row>
    <row r="53" spans="4:13">
      <c r="E53" s="353"/>
      <c r="F53" s="353"/>
      <c r="G53" s="353"/>
      <c r="H53" s="353"/>
      <c r="I53" s="353"/>
      <c r="J53" s="353"/>
    </row>
    <row r="54" spans="4:13">
      <c r="E54" s="353"/>
      <c r="F54" s="353"/>
      <c r="G54" s="353"/>
      <c r="H54" s="353"/>
      <c r="I54" s="353"/>
      <c r="J54" s="353"/>
    </row>
    <row r="55" spans="4:13">
      <c r="E55" s="353"/>
      <c r="F55" s="353"/>
      <c r="G55" s="353"/>
      <c r="H55" s="353"/>
      <c r="I55" s="353"/>
      <c r="J55" s="353"/>
    </row>
    <row r="57" spans="4:13">
      <c r="M57">
        <f>14.8*1.3</f>
        <v>19.240000000000002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N43"/>
  <sheetViews>
    <sheetView workbookViewId="0">
      <selection activeCell="L16" sqref="L16"/>
    </sheetView>
  </sheetViews>
  <sheetFormatPr defaultRowHeight="15"/>
  <sheetData>
    <row r="3" spans="6:14">
      <c r="F3" s="357"/>
      <c r="G3" s="1" t="s">
        <v>64</v>
      </c>
      <c r="H3" s="357"/>
      <c r="I3" s="51">
        <f>U4/20*140</f>
        <v>0</v>
      </c>
      <c r="J3" s="357"/>
      <c r="K3" s="51"/>
      <c r="L3" s="51"/>
    </row>
    <row r="4" spans="6:14" ht="18">
      <c r="F4" s="357"/>
      <c r="G4" s="357"/>
      <c r="H4" s="357" t="s">
        <v>2</v>
      </c>
      <c r="I4" s="51" t="s">
        <v>3</v>
      </c>
      <c r="J4" s="51" t="s">
        <v>4</v>
      </c>
      <c r="K4" s="51" t="s">
        <v>5</v>
      </c>
      <c r="L4" s="52" t="s">
        <v>6</v>
      </c>
    </row>
    <row r="5" spans="6:14">
      <c r="F5" s="21">
        <v>42247</v>
      </c>
      <c r="G5" s="357">
        <f>0.1723-0.0402</f>
        <v>0.1321</v>
      </c>
      <c r="H5" s="357">
        <v>20</v>
      </c>
      <c r="I5" s="51">
        <v>100</v>
      </c>
      <c r="J5" s="361">
        <v>25.955756810650637</v>
      </c>
      <c r="K5" s="360">
        <v>42.284489112167897</v>
      </c>
      <c r="L5" s="51">
        <f t="shared" ref="L5:L11" si="0">K5-J5</f>
        <v>16.32873230151726</v>
      </c>
      <c r="M5">
        <f>L5/G5</f>
        <v>123.6088743491087</v>
      </c>
    </row>
    <row r="6" spans="6:14">
      <c r="F6" s="357"/>
      <c r="G6" s="357">
        <f>0.1422-0.013</f>
        <v>0.12919999999999998</v>
      </c>
      <c r="H6" s="357">
        <v>20</v>
      </c>
      <c r="I6" s="51">
        <v>100</v>
      </c>
      <c r="J6" s="363">
        <v>26.011356771669192</v>
      </c>
      <c r="K6" s="362">
        <v>42.7942019876362</v>
      </c>
      <c r="L6" s="51">
        <f t="shared" si="0"/>
        <v>16.782845215967008</v>
      </c>
      <c r="M6" s="363">
        <f>L6/G6</f>
        <v>129.89818278612236</v>
      </c>
      <c r="N6">
        <f>AVERAGE(M5:M8)</f>
        <v>123.4708579696368</v>
      </c>
    </row>
    <row r="7" spans="6:14">
      <c r="F7" s="357"/>
      <c r="G7" s="357">
        <f>0.1665-0.0264</f>
        <v>0.1401</v>
      </c>
      <c r="H7" s="357">
        <v>20</v>
      </c>
      <c r="I7" s="51">
        <v>100</v>
      </c>
      <c r="J7" s="365">
        <v>26.289170312235971</v>
      </c>
      <c r="K7" s="364">
        <v>43.301120895214098</v>
      </c>
      <c r="L7" s="51">
        <f t="shared" si="0"/>
        <v>17.011950582978127</v>
      </c>
      <c r="M7" s="365">
        <f>L7/G7</f>
        <v>121.42719902197092</v>
      </c>
      <c r="N7">
        <f>_xlfn.STDEV.S(M5:M8)</f>
        <v>4.688699360039462</v>
      </c>
    </row>
    <row r="8" spans="6:14">
      <c r="F8" s="357"/>
      <c r="G8" s="357">
        <f>0.148-0.0078</f>
        <v>0.14019999999999999</v>
      </c>
      <c r="H8" s="357">
        <v>20</v>
      </c>
      <c r="I8" s="51">
        <v>100</v>
      </c>
      <c r="J8" s="367">
        <v>26.289356576761993</v>
      </c>
      <c r="K8" s="366">
        <v>42.966031012894597</v>
      </c>
      <c r="L8" s="51">
        <f t="shared" si="0"/>
        <v>16.676674436132604</v>
      </c>
      <c r="M8" s="367">
        <f>L8/G8</f>
        <v>118.94917572134526</v>
      </c>
      <c r="N8">
        <f>N7/N6</f>
        <v>3.7974137680265238E-2</v>
      </c>
    </row>
    <row r="9" spans="6:14">
      <c r="F9" s="21"/>
      <c r="G9" s="357">
        <f>0.1356-0.0005</f>
        <v>0.1351</v>
      </c>
      <c r="H9" s="357">
        <v>20</v>
      </c>
      <c r="I9" s="51">
        <v>100</v>
      </c>
      <c r="J9" s="357"/>
      <c r="K9" s="357"/>
      <c r="L9" s="51">
        <f t="shared" si="0"/>
        <v>0</v>
      </c>
    </row>
    <row r="10" spans="6:14">
      <c r="F10" s="357"/>
      <c r="G10" s="357">
        <f>0.1356-0</f>
        <v>0.1356</v>
      </c>
      <c r="H10" s="357">
        <v>20</v>
      </c>
      <c r="I10" s="51">
        <v>100</v>
      </c>
      <c r="J10" s="357"/>
      <c r="K10" s="357"/>
      <c r="L10" s="51">
        <f t="shared" si="0"/>
        <v>0</v>
      </c>
    </row>
    <row r="11" spans="6:14">
      <c r="F11" s="357"/>
      <c r="G11" s="357">
        <f>0.1352-0.0019</f>
        <v>0.13329999999999997</v>
      </c>
      <c r="H11" s="357">
        <v>20</v>
      </c>
      <c r="I11" s="51">
        <v>100</v>
      </c>
      <c r="J11" s="357"/>
      <c r="K11" s="357"/>
      <c r="L11" s="51">
        <f t="shared" si="0"/>
        <v>0</v>
      </c>
    </row>
    <row r="12" spans="6:14">
      <c r="F12" s="357"/>
      <c r="G12" s="357"/>
      <c r="H12" s="357"/>
      <c r="I12" s="51"/>
      <c r="J12" s="357"/>
      <c r="K12" s="357"/>
      <c r="L12" s="51"/>
    </row>
    <row r="13" spans="6:14">
      <c r="F13" s="357"/>
      <c r="G13" s="357"/>
      <c r="H13" s="357"/>
      <c r="I13" s="51"/>
      <c r="J13" s="357"/>
      <c r="K13" s="357"/>
      <c r="L13" s="51"/>
    </row>
    <row r="14" spans="6:14">
      <c r="F14" s="367"/>
      <c r="G14" s="319"/>
      <c r="H14" s="319"/>
      <c r="I14" s="239"/>
      <c r="J14" s="319"/>
      <c r="K14" s="367"/>
      <c r="L14" s="367"/>
    </row>
    <row r="15" spans="6:14">
      <c r="F15" s="319"/>
      <c r="G15" s="319"/>
      <c r="H15" s="319"/>
      <c r="I15" s="320"/>
      <c r="J15" s="320"/>
      <c r="K15" s="320"/>
      <c r="L15" s="321"/>
    </row>
    <row r="16" spans="6:14">
      <c r="F16" s="322"/>
      <c r="G16" s="320"/>
      <c r="H16" s="320"/>
      <c r="I16" s="320"/>
      <c r="J16" s="320"/>
      <c r="K16" s="320"/>
      <c r="L16" s="320"/>
    </row>
    <row r="17" spans="5:14">
      <c r="F17" s="319"/>
      <c r="G17" s="320"/>
      <c r="H17" s="320"/>
      <c r="I17" s="320"/>
      <c r="J17" s="320"/>
      <c r="K17" s="320"/>
      <c r="L17" s="320"/>
    </row>
    <row r="18" spans="5:14">
      <c r="F18" s="319"/>
      <c r="G18" s="320"/>
      <c r="H18" s="320"/>
      <c r="I18" s="320"/>
      <c r="J18" s="320"/>
      <c r="K18" s="320"/>
      <c r="L18" s="320"/>
    </row>
    <row r="23" spans="5:14">
      <c r="F23" s="368"/>
      <c r="G23" s="250" t="s">
        <v>65</v>
      </c>
      <c r="H23" s="368"/>
      <c r="I23" s="51"/>
      <c r="J23" s="368"/>
      <c r="K23" s="368"/>
      <c r="L23" s="368"/>
      <c r="M23" s="368"/>
    </row>
    <row r="24" spans="5:14" ht="18">
      <c r="F24" s="368"/>
      <c r="G24" s="368"/>
      <c r="H24" s="368" t="s">
        <v>2</v>
      </c>
      <c r="I24" s="51" t="s">
        <v>3</v>
      </c>
      <c r="J24" s="51" t="s">
        <v>4</v>
      </c>
      <c r="K24" s="51" t="s">
        <v>5</v>
      </c>
      <c r="L24" s="52" t="s">
        <v>6</v>
      </c>
      <c r="M24" s="368"/>
    </row>
    <row r="25" spans="5:14">
      <c r="E25">
        <f>G28*10</f>
        <v>0.53</v>
      </c>
      <c r="F25" s="21">
        <v>42247</v>
      </c>
      <c r="G25" s="368">
        <f>0.0607-0.0128</f>
        <v>4.7899999999999998E-2</v>
      </c>
      <c r="H25" s="368">
        <v>20</v>
      </c>
      <c r="I25" s="354">
        <v>100</v>
      </c>
      <c r="J25" s="369">
        <v>26.29792474495915</v>
      </c>
      <c r="K25" s="369">
        <v>34.062027875305901</v>
      </c>
      <c r="L25" s="368">
        <f>K25-J25</f>
        <v>7.7641031303467507</v>
      </c>
      <c r="M25" s="368">
        <f>L25/G25</f>
        <v>162.08983570661275</v>
      </c>
    </row>
    <row r="26" spans="5:14">
      <c r="F26" s="368"/>
      <c r="G26" s="368">
        <f>0.0939-0.0388</f>
        <v>5.5099999999999996E-2</v>
      </c>
      <c r="H26" s="368">
        <v>20</v>
      </c>
      <c r="I26" s="368">
        <v>100</v>
      </c>
      <c r="J26" s="370">
        <v>26.068353716632938</v>
      </c>
      <c r="K26" s="370">
        <v>32.598547494324897</v>
      </c>
      <c r="L26" s="368">
        <f>K26-J26</f>
        <v>6.5301937776919594</v>
      </c>
      <c r="M26" s="371">
        <f t="shared" ref="M26:M30" si="1">L26/G26</f>
        <v>118.51531356972704</v>
      </c>
    </row>
    <row r="27" spans="5:14">
      <c r="F27" s="368"/>
      <c r="G27" s="368">
        <f>0.0595-0.0069</f>
        <v>5.2599999999999994E-2</v>
      </c>
      <c r="H27" s="368">
        <v>20</v>
      </c>
      <c r="I27" s="368">
        <v>100</v>
      </c>
      <c r="J27" s="373">
        <v>25.005621463395457</v>
      </c>
      <c r="K27" s="372">
        <v>31.9717673642497</v>
      </c>
      <c r="L27" s="368">
        <f>K27-J27</f>
        <v>6.9661459008542437</v>
      </c>
      <c r="M27" s="371">
        <f t="shared" si="1"/>
        <v>132.43623385654456</v>
      </c>
      <c r="N27" s="371">
        <f>AVERAGE(M25:M31)</f>
        <v>137.91795721443864</v>
      </c>
    </row>
    <row r="28" spans="5:14">
      <c r="F28" s="21"/>
      <c r="G28" s="368">
        <f>0.0573-0.0043</f>
        <v>5.2999999999999999E-2</v>
      </c>
      <c r="H28" s="368">
        <v>20</v>
      </c>
      <c r="I28" s="368">
        <v>100</v>
      </c>
      <c r="J28" s="374">
        <v>26.133825697530845</v>
      </c>
      <c r="K28" s="374">
        <v>33.605214125228798</v>
      </c>
      <c r="L28" s="368">
        <f t="shared" ref="L28:L30" si="2">K28-J28</f>
        <v>7.4713884276979527</v>
      </c>
      <c r="M28" s="371">
        <f t="shared" si="1"/>
        <v>140.96959297543307</v>
      </c>
      <c r="N28" s="371">
        <f>_xlfn.STDEV.P(L25:L31)</f>
        <v>0.39385238988083232</v>
      </c>
    </row>
    <row r="29" spans="5:14">
      <c r="F29" s="368"/>
      <c r="G29" s="368">
        <f>0.0586-0.0032</f>
        <v>5.5399999999999998E-2</v>
      </c>
      <c r="H29" s="368">
        <v>20</v>
      </c>
      <c r="I29" s="368">
        <v>100</v>
      </c>
      <c r="J29" s="375">
        <v>26.288332121868869</v>
      </c>
      <c r="K29" s="375">
        <v>33.601302570182199</v>
      </c>
      <c r="L29" s="368">
        <f t="shared" si="2"/>
        <v>7.3129704483133295</v>
      </c>
      <c r="M29" s="371">
        <f t="shared" si="1"/>
        <v>132.00307668435613</v>
      </c>
      <c r="N29" s="371">
        <f>N28/N27</f>
        <v>2.8557005761654353E-3</v>
      </c>
    </row>
    <row r="30" spans="5:14">
      <c r="F30" s="21"/>
      <c r="G30" s="368">
        <f>0.1026-0.0481</f>
        <v>5.45E-2</v>
      </c>
      <c r="H30" s="368">
        <v>20</v>
      </c>
      <c r="I30" s="368">
        <v>100</v>
      </c>
      <c r="J30" s="377">
        <v>26.640930869634794</v>
      </c>
      <c r="K30" s="376">
        <v>34.112746066614754</v>
      </c>
      <c r="L30" s="368">
        <f t="shared" si="2"/>
        <v>7.4718151969799607</v>
      </c>
      <c r="M30" s="371">
        <f t="shared" si="1"/>
        <v>137.09752655009103</v>
      </c>
    </row>
    <row r="31" spans="5:14">
      <c r="F31" s="21">
        <v>42248</v>
      </c>
      <c r="G31" s="381">
        <f>0.057-0.0034</f>
        <v>5.3600000000000002E-2</v>
      </c>
      <c r="H31" s="381">
        <v>20</v>
      </c>
      <c r="I31" s="381">
        <v>100</v>
      </c>
      <c r="J31" s="383">
        <v>25.948213097346603</v>
      </c>
      <c r="K31" s="382">
        <v>33.576249991431801</v>
      </c>
      <c r="L31" s="381">
        <f t="shared" ref="L31" si="3">K31-J31</f>
        <v>7.6280368940851986</v>
      </c>
      <c r="M31" s="381">
        <f t="shared" ref="M31" si="4">L31/G31</f>
        <v>142.31412115830594</v>
      </c>
    </row>
    <row r="34" spans="6:14">
      <c r="F34" s="377"/>
      <c r="G34" s="250" t="s">
        <v>66</v>
      </c>
      <c r="H34" s="377"/>
      <c r="I34" s="377"/>
      <c r="J34" s="377"/>
      <c r="K34" s="377"/>
      <c r="L34" s="377"/>
      <c r="M34" s="377"/>
      <c r="N34" s="377"/>
    </row>
    <row r="35" spans="6:14" ht="18">
      <c r="F35" s="377"/>
      <c r="G35" s="377"/>
      <c r="H35" s="377" t="s">
        <v>2</v>
      </c>
      <c r="I35" s="51" t="s">
        <v>3</v>
      </c>
      <c r="J35" s="51" t="s">
        <v>4</v>
      </c>
      <c r="K35" s="51" t="s">
        <v>5</v>
      </c>
      <c r="L35" s="52" t="s">
        <v>6</v>
      </c>
      <c r="M35" s="377"/>
      <c r="N35" s="377"/>
    </row>
    <row r="36" spans="6:14">
      <c r="F36" s="21">
        <v>42247</v>
      </c>
      <c r="G36" s="377">
        <f>0.0524-0.0056</f>
        <v>4.6800000000000001E-2</v>
      </c>
      <c r="H36" s="377">
        <v>20</v>
      </c>
      <c r="I36" s="51">
        <v>100</v>
      </c>
      <c r="J36" s="379">
        <v>26.968663303176371</v>
      </c>
      <c r="K36" s="378">
        <v>31.539222242785801</v>
      </c>
      <c r="L36" s="377">
        <f>K36-J36</f>
        <v>4.5705589396094304</v>
      </c>
      <c r="M36" s="377">
        <f>L36/G36</f>
        <v>97.661515803620304</v>
      </c>
      <c r="N36" s="377">
        <f>G41*10</f>
        <v>0.52300000000000002</v>
      </c>
    </row>
    <row r="37" spans="6:14">
      <c r="F37" s="377"/>
      <c r="G37" s="377">
        <f>0.0871-0.0329</f>
        <v>5.4199999999999998E-2</v>
      </c>
      <c r="H37" s="377">
        <v>20</v>
      </c>
      <c r="I37" s="377">
        <v>100</v>
      </c>
      <c r="J37" s="381">
        <v>26.984961449203588</v>
      </c>
      <c r="K37" s="380">
        <v>34.204481345682225</v>
      </c>
      <c r="L37" s="377">
        <f t="shared" ref="L37:L40" si="5">K37-J37</f>
        <v>7.2195198964786371</v>
      </c>
      <c r="M37" s="377">
        <f t="shared" ref="M37:M40" si="6">L37/G37</f>
        <v>133.2014741047719</v>
      </c>
      <c r="N37" s="377">
        <f>AVERAGE(L38:L42)</f>
        <v>5.1244728997035773</v>
      </c>
    </row>
    <row r="38" spans="6:14">
      <c r="F38" s="21">
        <v>42248</v>
      </c>
      <c r="G38" s="377">
        <f>0.0497-0.0009</f>
        <v>4.8800000000000003E-2</v>
      </c>
      <c r="H38" s="377">
        <v>20</v>
      </c>
      <c r="I38" s="377">
        <v>100</v>
      </c>
      <c r="J38" s="385">
        <v>25.947188642453479</v>
      </c>
      <c r="K38" s="384">
        <v>30.954817292381371</v>
      </c>
      <c r="L38" s="377">
        <f t="shared" si="5"/>
        <v>5.0076286499278915</v>
      </c>
      <c r="M38" s="377">
        <f t="shared" si="6"/>
        <v>102.61534118704695</v>
      </c>
      <c r="N38" s="377">
        <f>_xlfn.STDEV.P(L38:L42)</f>
        <v>0.23855704990608051</v>
      </c>
    </row>
    <row r="39" spans="6:14">
      <c r="F39" s="21"/>
      <c r="G39" s="377">
        <f>0.0456</f>
        <v>4.5600000000000002E-2</v>
      </c>
      <c r="H39" s="377">
        <v>20</v>
      </c>
      <c r="I39" s="377">
        <v>100</v>
      </c>
      <c r="J39" s="387">
        <v>26.115478641717356</v>
      </c>
      <c r="K39" s="386">
        <v>31.378328584333001</v>
      </c>
      <c r="L39" s="377">
        <f t="shared" si="5"/>
        <v>5.2628499426156452</v>
      </c>
      <c r="M39" s="377">
        <f t="shared" si="6"/>
        <v>115.41337593455361</v>
      </c>
      <c r="N39" s="377">
        <f>N38/N37</f>
        <v>4.655250492589779E-2</v>
      </c>
    </row>
    <row r="40" spans="6:14">
      <c r="F40" s="377"/>
      <c r="G40" s="377">
        <f>0.0505-0.003</f>
        <v>4.7500000000000001E-2</v>
      </c>
      <c r="H40" s="377">
        <v>20</v>
      </c>
      <c r="I40" s="377">
        <v>100</v>
      </c>
      <c r="J40" s="388">
        <v>25.10070950393137</v>
      </c>
      <c r="K40" s="388">
        <v>29.991240709498001</v>
      </c>
      <c r="L40" s="377">
        <f t="shared" si="5"/>
        <v>4.8905312055666315</v>
      </c>
      <c r="M40" s="377">
        <f t="shared" si="6"/>
        <v>102.95855169613961</v>
      </c>
      <c r="N40" s="377"/>
    </row>
    <row r="41" spans="6:14">
      <c r="F41" s="377"/>
      <c r="G41" s="377">
        <f>0.0649-0.0126</f>
        <v>5.2299999999999999E-2</v>
      </c>
      <c r="H41" s="377">
        <v>20</v>
      </c>
      <c r="I41" s="377">
        <v>100</v>
      </c>
      <c r="J41" s="390">
        <v>26.003813058365182</v>
      </c>
      <c r="K41" s="389">
        <v>31.529836865057799</v>
      </c>
      <c r="L41" s="377">
        <f>K41-J41</f>
        <v>5.5260238066926171</v>
      </c>
      <c r="M41" s="377">
        <f>L41/G41</f>
        <v>105.66011102662748</v>
      </c>
      <c r="N41" s="377"/>
    </row>
    <row r="42" spans="6:14">
      <c r="G42" s="388">
        <f>0.0704-0.0262</f>
        <v>4.4200000000000003E-2</v>
      </c>
      <c r="H42" s="388">
        <v>20</v>
      </c>
      <c r="I42" s="388">
        <v>100</v>
      </c>
      <c r="J42" s="391">
        <v>25.6016679466765</v>
      </c>
      <c r="K42" s="392">
        <v>30.5369988403916</v>
      </c>
      <c r="L42" s="388">
        <f>K42-J42</f>
        <v>4.9353308937151006</v>
      </c>
      <c r="M42" s="388">
        <f>L42/G42</f>
        <v>111.6590699935543</v>
      </c>
    </row>
    <row r="43" spans="6:14">
      <c r="G43" s="388"/>
      <c r="H43" s="388"/>
      <c r="I43" s="388"/>
      <c r="J43" s="388"/>
      <c r="K43" s="388"/>
      <c r="L43" s="388"/>
      <c r="M43" s="388"/>
    </row>
  </sheetData>
  <phoneticPr fontId="3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Q28"/>
  <sheetViews>
    <sheetView workbookViewId="0">
      <selection activeCell="K24" sqref="K24:K25"/>
    </sheetView>
  </sheetViews>
  <sheetFormatPr defaultRowHeight="15"/>
  <cols>
    <col min="11" max="11" width="11.42578125" customWidth="1"/>
  </cols>
  <sheetData>
    <row r="1" spans="7:16">
      <c r="H1" s="431"/>
      <c r="I1" s="250"/>
      <c r="J1" s="431"/>
      <c r="K1" s="51"/>
      <c r="L1" s="431"/>
      <c r="M1" s="431"/>
      <c r="N1" s="431"/>
      <c r="O1" s="431"/>
      <c r="P1" s="431"/>
    </row>
    <row r="2" spans="7:16">
      <c r="H2" s="431"/>
      <c r="I2" s="431"/>
      <c r="J2" s="431"/>
      <c r="K2" s="51"/>
      <c r="L2" s="51"/>
      <c r="M2" s="51"/>
      <c r="N2" s="52"/>
      <c r="O2" s="431"/>
      <c r="P2" s="431"/>
    </row>
    <row r="3" spans="7:16">
      <c r="H3" s="21"/>
      <c r="I3" s="431"/>
      <c r="J3" s="431"/>
      <c r="K3" s="354"/>
      <c r="L3" s="433"/>
      <c r="M3" s="432"/>
      <c r="N3" s="431"/>
      <c r="O3" s="431"/>
      <c r="P3" s="431"/>
    </row>
    <row r="4" spans="7:16">
      <c r="H4" s="431"/>
      <c r="I4" s="431"/>
      <c r="J4" s="431"/>
      <c r="K4" s="431"/>
      <c r="L4" s="431"/>
      <c r="M4" s="431"/>
      <c r="N4" s="431"/>
      <c r="O4" s="431"/>
      <c r="P4" s="431"/>
    </row>
    <row r="5" spans="7:16">
      <c r="H5" s="431"/>
      <c r="I5" s="431"/>
      <c r="J5" s="431"/>
      <c r="K5" s="431"/>
      <c r="L5" s="431"/>
      <c r="M5" s="431"/>
      <c r="N5" s="431"/>
      <c r="O5" s="431"/>
      <c r="P5" s="431"/>
    </row>
    <row r="6" spans="7:16">
      <c r="H6" s="21"/>
      <c r="I6" s="431"/>
      <c r="J6" s="431"/>
      <c r="K6" s="431"/>
      <c r="L6" s="431"/>
      <c r="M6" s="431"/>
      <c r="N6" s="431"/>
      <c r="O6" s="431"/>
      <c r="P6" s="431"/>
    </row>
    <row r="7" spans="7:16">
      <c r="H7" s="431"/>
      <c r="I7" s="431"/>
      <c r="J7" s="431"/>
      <c r="K7" s="431"/>
      <c r="L7" s="431"/>
      <c r="M7" s="431"/>
      <c r="N7" s="431"/>
      <c r="O7" s="431"/>
      <c r="P7" s="431"/>
    </row>
    <row r="8" spans="7:16">
      <c r="H8" s="21"/>
      <c r="I8" s="431"/>
      <c r="J8" s="431"/>
      <c r="K8" s="431"/>
      <c r="L8" s="431"/>
      <c r="M8" s="431"/>
      <c r="N8" s="431"/>
      <c r="O8" s="431"/>
      <c r="P8" s="431"/>
    </row>
    <row r="9" spans="7:16">
      <c r="H9" s="21"/>
      <c r="I9" s="431"/>
      <c r="J9" s="431"/>
      <c r="K9" s="431"/>
      <c r="L9" s="431"/>
      <c r="M9" s="431"/>
      <c r="N9" s="431"/>
      <c r="O9" s="431"/>
      <c r="P9" s="431"/>
    </row>
    <row r="10" spans="7:16">
      <c r="G10" s="420"/>
      <c r="H10" s="431"/>
      <c r="I10" s="250" t="s">
        <v>76</v>
      </c>
      <c r="J10" s="431"/>
      <c r="K10" s="431"/>
      <c r="L10" s="431"/>
      <c r="M10" s="431"/>
      <c r="N10" s="431"/>
      <c r="O10" s="431"/>
      <c r="P10" s="431"/>
    </row>
    <row r="11" spans="7:16" ht="18">
      <c r="G11" s="420"/>
      <c r="H11" s="420"/>
      <c r="I11" s="420"/>
      <c r="J11" s="51" t="s">
        <v>2</v>
      </c>
      <c r="K11" s="51" t="s">
        <v>3</v>
      </c>
      <c r="L11" s="51" t="s">
        <v>4</v>
      </c>
      <c r="M11" s="51" t="s">
        <v>5</v>
      </c>
      <c r="N11" s="52" t="s">
        <v>6</v>
      </c>
      <c r="O11" s="420"/>
      <c r="P11" s="420"/>
    </row>
    <row r="12" spans="7:16">
      <c r="G12" s="420">
        <f>I12*11</f>
        <v>0.69410000000000005</v>
      </c>
      <c r="H12" s="21">
        <v>42270</v>
      </c>
      <c r="I12" s="420">
        <f>0.0694-0.0063</f>
        <v>6.3100000000000003E-2</v>
      </c>
      <c r="J12" s="51">
        <v>20</v>
      </c>
      <c r="K12" s="51">
        <v>100</v>
      </c>
      <c r="L12" s="422">
        <v>24.439191039752419</v>
      </c>
      <c r="M12" s="421">
        <v>31.981507359832957</v>
      </c>
      <c r="N12" s="420">
        <f>M12-L12</f>
        <v>7.5423163200805377</v>
      </c>
      <c r="O12" s="420">
        <f>N12/I12</f>
        <v>119.52957718035717</v>
      </c>
      <c r="P12" s="420"/>
    </row>
    <row r="13" spans="7:16">
      <c r="G13" s="420"/>
      <c r="H13" s="21">
        <v>42275</v>
      </c>
      <c r="I13" s="420">
        <f>0.0682-0.0149</f>
        <v>5.33E-2</v>
      </c>
      <c r="J13" s="51">
        <v>20</v>
      </c>
      <c r="K13" s="51">
        <v>100</v>
      </c>
      <c r="L13" s="435">
        <v>23.832900007539983</v>
      </c>
      <c r="M13" s="434">
        <v>27.631113089985448</v>
      </c>
      <c r="N13" s="420">
        <f>M13-L13</f>
        <v>3.7982130824454643</v>
      </c>
      <c r="O13" s="420">
        <f t="shared" ref="O13:O17" si="0">N13/I13</f>
        <v>71.261033441753554</v>
      </c>
      <c r="P13" s="420"/>
    </row>
    <row r="14" spans="7:16">
      <c r="G14" s="420"/>
      <c r="H14" s="420"/>
      <c r="I14" s="420">
        <f>0.0854-0.0308</f>
        <v>5.4600000000000003E-2</v>
      </c>
      <c r="J14" s="51">
        <v>20</v>
      </c>
      <c r="K14" s="51">
        <v>100</v>
      </c>
      <c r="L14" s="437">
        <v>23.791083621447306</v>
      </c>
      <c r="M14" s="436">
        <v>29.375014714897564</v>
      </c>
      <c r="N14" s="420">
        <f>M14-L14</f>
        <v>5.5839310934502571</v>
      </c>
      <c r="O14" s="420">
        <f>N14/I14</f>
        <v>102.2698002463417</v>
      </c>
      <c r="P14" s="420">
        <f>AVERAGE(N12:N18)</f>
        <v>5.3251190081309678</v>
      </c>
    </row>
    <row r="15" spans="7:16">
      <c r="G15" s="420"/>
      <c r="H15" s="21">
        <v>42282</v>
      </c>
      <c r="I15" s="420">
        <f>0.0571-0.0053</f>
        <v>5.1799999999999999E-2</v>
      </c>
      <c r="J15" s="51">
        <v>20</v>
      </c>
      <c r="K15" s="51">
        <v>100</v>
      </c>
      <c r="L15" s="455">
        <v>24.042171272168801</v>
      </c>
      <c r="M15" s="454">
        <v>28.648862460187807</v>
      </c>
      <c r="N15" s="455">
        <f>M15-L15</f>
        <v>4.6066911880190062</v>
      </c>
      <c r="O15" s="455">
        <f>N15/I15</f>
        <v>88.932262316969229</v>
      </c>
      <c r="P15" s="420">
        <f>_xlfn.STDEV.P(N12:N18)</f>
        <v>1.1654835805044979</v>
      </c>
    </row>
    <row r="16" spans="7:16">
      <c r="G16" s="420"/>
      <c r="H16" s="420"/>
      <c r="I16" s="420">
        <f>0.0675-0.0103</f>
        <v>5.7200000000000001E-2</v>
      </c>
      <c r="J16" s="51">
        <v>20</v>
      </c>
      <c r="K16" s="51">
        <v>100</v>
      </c>
      <c r="L16" s="451">
        <v>24.474280922072001</v>
      </c>
      <c r="M16" s="450">
        <v>30.066801164555599</v>
      </c>
      <c r="N16" s="420">
        <f t="shared" ref="N16:N17" si="1">M16-L16</f>
        <v>5.592520242483598</v>
      </c>
      <c r="O16" s="420">
        <f t="shared" si="0"/>
        <v>97.771332910552417</v>
      </c>
      <c r="P16" s="420">
        <f>P15/P14</f>
        <v>0.21886526455557359</v>
      </c>
    </row>
    <row r="17" spans="7:17">
      <c r="G17" s="420"/>
      <c r="H17" s="21"/>
      <c r="I17" s="420">
        <f>0.0614-0.0069</f>
        <v>5.4500000000000007E-2</v>
      </c>
      <c r="J17" s="51">
        <v>20</v>
      </c>
      <c r="K17" s="51">
        <v>100</v>
      </c>
      <c r="L17" s="453">
        <v>24.0455240336373</v>
      </c>
      <c r="M17" s="452">
        <v>28.872566155944245</v>
      </c>
      <c r="N17" s="420">
        <f t="shared" si="1"/>
        <v>4.8270421223069455</v>
      </c>
      <c r="O17" s="420">
        <f t="shared" si="0"/>
        <v>88.5695802258155</v>
      </c>
      <c r="P17" s="420"/>
    </row>
    <row r="18" spans="7:17">
      <c r="G18" s="420"/>
      <c r="H18" s="21"/>
      <c r="I18" s="420"/>
      <c r="J18" s="51"/>
      <c r="K18" s="51"/>
      <c r="N18" s="420"/>
      <c r="O18" s="420"/>
      <c r="P18" s="420"/>
    </row>
    <row r="20" spans="7:17">
      <c r="H20" s="438"/>
      <c r="I20" s="250" t="s">
        <v>74</v>
      </c>
      <c r="J20" s="438"/>
      <c r="K20" s="438"/>
      <c r="L20" s="438"/>
      <c r="M20" s="438"/>
      <c r="N20" s="438"/>
      <c r="O20" s="438"/>
      <c r="P20" s="438"/>
    </row>
    <row r="21" spans="7:17" ht="18">
      <c r="H21" s="438"/>
      <c r="I21" s="438"/>
      <c r="J21" s="438" t="s">
        <v>2</v>
      </c>
      <c r="K21" s="51" t="s">
        <v>3</v>
      </c>
      <c r="L21" s="51" t="s">
        <v>4</v>
      </c>
      <c r="M21" s="51" t="s">
        <v>5</v>
      </c>
      <c r="N21" s="52" t="s">
        <v>6</v>
      </c>
      <c r="O21" s="438"/>
      <c r="P21" s="438"/>
    </row>
    <row r="22" spans="7:17">
      <c r="H22" s="21">
        <v>42275</v>
      </c>
      <c r="I22" s="438">
        <f>0.0586-0.0097</f>
        <v>4.8899999999999999E-2</v>
      </c>
      <c r="J22" s="438">
        <v>20</v>
      </c>
      <c r="K22" s="51">
        <v>100</v>
      </c>
      <c r="L22" s="440">
        <v>24.095626121498714</v>
      </c>
      <c r="M22" s="439">
        <v>30.384607337987902</v>
      </c>
      <c r="N22" s="438">
        <f>M22-L22</f>
        <v>6.2889812164891872</v>
      </c>
      <c r="O22" s="438">
        <f>N22/I22</f>
        <v>128.60902283208972</v>
      </c>
      <c r="P22" s="438">
        <f>I27*10</f>
        <v>0.50900000000000001</v>
      </c>
    </row>
    <row r="23" spans="7:17">
      <c r="H23" s="438"/>
      <c r="I23" s="438">
        <f>0.0498-0.005</f>
        <v>4.48E-2</v>
      </c>
      <c r="J23" s="438">
        <v>20</v>
      </c>
      <c r="K23" s="438">
        <v>100</v>
      </c>
      <c r="L23" s="441">
        <v>24.431740458711406</v>
      </c>
      <c r="M23" s="441">
        <v>29.875546388360601</v>
      </c>
      <c r="N23" s="438">
        <f t="shared" ref="N23:N26" si="2">M23-L23</f>
        <v>5.4438059296491943</v>
      </c>
      <c r="O23" s="438">
        <f t="shared" ref="O23:O26" si="3">N23/I23</f>
        <v>121.51352521538381</v>
      </c>
      <c r="P23" s="438">
        <f>AVERAGE(O22:O24)</f>
        <v>129.25574777668604</v>
      </c>
    </row>
    <row r="24" spans="7:17">
      <c r="H24" s="21">
        <v>42282</v>
      </c>
      <c r="I24" s="438">
        <f>0.0559-0.005</f>
        <v>5.0900000000000001E-2</v>
      </c>
      <c r="J24" s="438">
        <v>20</v>
      </c>
      <c r="K24" s="438">
        <v>100</v>
      </c>
      <c r="L24" s="457">
        <v>25.12473762778864</v>
      </c>
      <c r="M24" s="456">
        <v>32.130852617672197</v>
      </c>
      <c r="N24" s="438">
        <f t="shared" si="2"/>
        <v>7.0061149898835566</v>
      </c>
      <c r="O24" s="438">
        <f t="shared" si="3"/>
        <v>137.64469528258462</v>
      </c>
      <c r="P24" s="438">
        <f>_xlfn.STDEV.P(O22:O24)</f>
        <v>6.6013812594896235</v>
      </c>
      <c r="Q24">
        <f>I24*11</f>
        <v>0.55990000000000006</v>
      </c>
    </row>
    <row r="25" spans="7:17">
      <c r="H25" s="21"/>
      <c r="I25" s="438">
        <f>0.0599-0.0058</f>
        <v>5.4100000000000002E-2</v>
      </c>
      <c r="J25" s="438">
        <v>20</v>
      </c>
      <c r="K25" s="438">
        <v>100</v>
      </c>
      <c r="L25" s="459">
        <v>24.785643058159526</v>
      </c>
      <c r="M25" s="458">
        <v>27.519820035685317</v>
      </c>
      <c r="N25" s="438">
        <f t="shared" si="2"/>
        <v>2.7341769775257916</v>
      </c>
      <c r="O25" s="438">
        <f t="shared" si="3"/>
        <v>50.539315665911118</v>
      </c>
      <c r="P25" s="438">
        <f>P24/P23</f>
        <v>5.1072245320144441E-2</v>
      </c>
    </row>
    <row r="26" spans="7:17">
      <c r="H26" s="21">
        <v>42284</v>
      </c>
      <c r="I26" s="438">
        <f>0.052-0.0052</f>
        <v>4.6799999999999994E-2</v>
      </c>
      <c r="J26" s="438">
        <v>20</v>
      </c>
      <c r="K26" s="438">
        <v>100</v>
      </c>
      <c r="L26" s="461">
        <v>24.0793279754715</v>
      </c>
      <c r="M26" s="460">
        <v>26.971177874277707</v>
      </c>
      <c r="N26" s="438">
        <f t="shared" si="2"/>
        <v>2.8918498988062069</v>
      </c>
      <c r="O26" s="438">
        <f t="shared" si="3"/>
        <v>61.791664504406135</v>
      </c>
      <c r="P26" s="438"/>
    </row>
    <row r="27" spans="7:17">
      <c r="H27" s="438"/>
      <c r="I27" s="438">
        <f>0.0514-0.0005</f>
        <v>5.0900000000000001E-2</v>
      </c>
      <c r="J27" s="438">
        <v>20</v>
      </c>
      <c r="K27" s="438">
        <v>100</v>
      </c>
      <c r="L27" s="463">
        <v>24.077837859263287</v>
      </c>
      <c r="M27" s="462">
        <v>28.166809866834281</v>
      </c>
      <c r="N27" s="438">
        <f>M27-L27</f>
        <v>4.0889720075709945</v>
      </c>
      <c r="O27" s="438">
        <f>N27/I27</f>
        <v>80.333438262691445</v>
      </c>
      <c r="P27" s="438"/>
    </row>
    <row r="28" spans="7:17">
      <c r="H28" s="438"/>
      <c r="I28" s="438"/>
      <c r="J28" s="438"/>
      <c r="K28" s="438"/>
      <c r="L28" s="438"/>
      <c r="M28" s="438"/>
      <c r="N28" s="438"/>
      <c r="O28" s="438"/>
      <c r="P28" s="438"/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opLeftCell="A40" workbookViewId="0">
      <selection activeCell="N61" sqref="N61"/>
    </sheetView>
  </sheetViews>
  <sheetFormatPr defaultRowHeight="15"/>
  <cols>
    <col min="3" max="3" width="9" style="502"/>
    <col min="4" max="4" width="13" customWidth="1"/>
    <col min="5" max="5" width="13.140625" customWidth="1"/>
    <col min="8" max="8" width="9" style="502"/>
    <col min="12" max="12" width="12.28515625" customWidth="1"/>
    <col min="14" max="14" width="20.140625" customWidth="1"/>
    <col min="15" max="15" width="10" customWidth="1"/>
    <col min="16" max="16" width="22.85546875" customWidth="1"/>
    <col min="17" max="17" width="14.5703125" customWidth="1"/>
    <col min="18" max="18" width="7" customWidth="1"/>
    <col min="19" max="19" width="12.42578125" customWidth="1"/>
  </cols>
  <sheetData>
    <row r="1" spans="1:23" s="502" customFormat="1">
      <c r="E1" s="510"/>
      <c r="F1" s="511" t="s">
        <v>84</v>
      </c>
      <c r="G1" s="511" t="s">
        <v>85</v>
      </c>
      <c r="H1" s="512" t="s">
        <v>86</v>
      </c>
    </row>
    <row r="2" spans="1:23" s="502" customFormat="1">
      <c r="A2" t="s">
        <v>75</v>
      </c>
      <c r="B2"/>
      <c r="E2" s="27">
        <v>0</v>
      </c>
      <c r="F2" s="504">
        <v>0</v>
      </c>
      <c r="G2" s="504">
        <v>0</v>
      </c>
      <c r="H2" s="28">
        <v>0</v>
      </c>
    </row>
    <row r="3" spans="1:23" s="470" customFormat="1">
      <c r="A3" s="510"/>
      <c r="B3" s="511" t="s">
        <v>84</v>
      </c>
      <c r="C3" s="511" t="s">
        <v>85</v>
      </c>
      <c r="D3" s="512" t="s">
        <v>86</v>
      </c>
      <c r="E3" s="40">
        <v>8.5630407616780699E-4</v>
      </c>
      <c r="F3" s="505">
        <v>0.33695252757982175</v>
      </c>
      <c r="G3" s="505">
        <v>0.51678900000000005</v>
      </c>
      <c r="H3" s="29">
        <v>0.65348790000000001</v>
      </c>
    </row>
    <row r="4" spans="1:23">
      <c r="A4" s="40">
        <v>5.1999999999999998E-2</v>
      </c>
      <c r="B4" s="505">
        <v>0.68065961629170668</v>
      </c>
      <c r="C4" s="505">
        <v>1.2749265384489601</v>
      </c>
      <c r="D4" s="29">
        <v>1.53842636993251</v>
      </c>
      <c r="E4" s="506">
        <v>7.8000000000000014E-2</v>
      </c>
      <c r="F4" s="505">
        <v>1.7786951140969101</v>
      </c>
      <c r="G4" s="505">
        <v>2.3925875470584299</v>
      </c>
      <c r="H4" s="29">
        <v>2.7249254399809502</v>
      </c>
      <c r="I4" t="s">
        <v>43</v>
      </c>
      <c r="L4" t="s">
        <v>44</v>
      </c>
      <c r="Q4" t="s">
        <v>17</v>
      </c>
    </row>
    <row r="5" spans="1:23">
      <c r="A5" s="40">
        <v>0</v>
      </c>
      <c r="B5" s="505">
        <v>0</v>
      </c>
      <c r="C5" s="505">
        <v>0</v>
      </c>
      <c r="D5" s="29">
        <v>0</v>
      </c>
      <c r="E5" s="24">
        <v>5.2000000000000005E-2</v>
      </c>
      <c r="F5" s="513">
        <v>1.3043395143697001</v>
      </c>
      <c r="G5" s="505">
        <v>1.5218471897749699</v>
      </c>
      <c r="H5" s="29">
        <v>1.8963770506607001</v>
      </c>
      <c r="I5" t="s">
        <v>40</v>
      </c>
      <c r="L5" t="s">
        <v>16</v>
      </c>
      <c r="M5" t="s">
        <v>6</v>
      </c>
      <c r="S5" s="22" t="s">
        <v>16</v>
      </c>
      <c r="T5" s="23" t="s">
        <v>6</v>
      </c>
    </row>
    <row r="6" spans="1:23">
      <c r="A6" s="40">
        <v>0.1353</v>
      </c>
      <c r="B6" s="505">
        <v>3.5869891099327411</v>
      </c>
      <c r="C6" s="411">
        <v>3.85894</v>
      </c>
      <c r="D6" s="412">
        <v>4.5678900000000002</v>
      </c>
      <c r="E6" s="40">
        <v>2.7639999999999998E-2</v>
      </c>
      <c r="F6" s="505">
        <v>0.83735217674686169</v>
      </c>
      <c r="G6" s="505">
        <v>1.2157935926791299</v>
      </c>
      <c r="H6" s="29">
        <v>1.3733493312209468</v>
      </c>
      <c r="I6" t="s">
        <v>41</v>
      </c>
      <c r="J6" t="s">
        <v>42</v>
      </c>
      <c r="L6">
        <v>0.46970297029702979</v>
      </c>
      <c r="M6">
        <v>8.6475168852518074</v>
      </c>
      <c r="T6" s="189"/>
      <c r="W6" s="190">
        <v>0.68</v>
      </c>
    </row>
    <row r="7" spans="1:23">
      <c r="A7" s="40">
        <v>0.29099999999999998</v>
      </c>
      <c r="B7" s="505">
        <v>6.3096176868449199</v>
      </c>
      <c r="C7" s="411">
        <v>7.9587599999999998</v>
      </c>
      <c r="D7" s="412">
        <v>9.3786400000000008</v>
      </c>
      <c r="E7" s="40">
        <v>0.1148</v>
      </c>
      <c r="F7" s="505">
        <v>3.4894560867223801</v>
      </c>
      <c r="G7" s="503">
        <v>3.8758400000000002</v>
      </c>
      <c r="H7" s="507">
        <v>4.7293026999999999</v>
      </c>
      <c r="I7">
        <v>0.12809999999999999</v>
      </c>
      <c r="J7">
        <v>0.34654515067013136</v>
      </c>
      <c r="L7">
        <v>0.34957816377171219</v>
      </c>
      <c r="M7">
        <v>7.5051565471384691</v>
      </c>
      <c r="R7" s="188"/>
      <c r="S7">
        <v>0.1148</v>
      </c>
      <c r="T7">
        <v>1.8538365873000999</v>
      </c>
    </row>
    <row r="8" spans="1:23">
      <c r="A8" s="40">
        <v>0.3987</v>
      </c>
      <c r="B8" s="505">
        <v>8.8025278629379091</v>
      </c>
      <c r="C8" s="505">
        <v>10.587634</v>
      </c>
      <c r="D8" s="29">
        <v>12.789634</v>
      </c>
      <c r="E8" s="40">
        <v>0.26200000000000001</v>
      </c>
      <c r="F8" s="505">
        <v>8.5324985404311668</v>
      </c>
      <c r="G8" s="503">
        <v>9.7290632000000006</v>
      </c>
      <c r="H8" s="507">
        <v>11.094783919999999</v>
      </c>
      <c r="I8">
        <v>0.23859999999999998</v>
      </c>
      <c r="J8">
        <v>2.208538485082304</v>
      </c>
      <c r="L8">
        <v>0.25970149253731345</v>
      </c>
      <c r="M8">
        <v>6.6314827878166938</v>
      </c>
      <c r="R8" s="188"/>
      <c r="S8">
        <v>0.1653</v>
      </c>
      <c r="T8">
        <v>3.0879475526778499</v>
      </c>
    </row>
    <row r="9" spans="1:23">
      <c r="A9" s="40">
        <v>0.54600000000000004</v>
      </c>
      <c r="B9" s="505">
        <v>11.4973098932093</v>
      </c>
      <c r="C9" s="505">
        <v>14.7548902</v>
      </c>
      <c r="D9" s="29">
        <v>18.240279999999998</v>
      </c>
      <c r="E9" s="24">
        <f>(Stock3!G4/20.15)*60</f>
        <v>0.40674937965260549</v>
      </c>
      <c r="F9" s="513">
        <v>11.719857109776587</v>
      </c>
      <c r="G9" s="505">
        <v>15.0859878</v>
      </c>
      <c r="H9" s="29">
        <v>17.159368203</v>
      </c>
      <c r="I9">
        <v>0.34260000000000002</v>
      </c>
      <c r="J9">
        <v>3.748387321733663</v>
      </c>
      <c r="L9">
        <v>0.12698254364089775</v>
      </c>
      <c r="M9">
        <v>4.4333751161918009</v>
      </c>
      <c r="R9" s="188"/>
      <c r="S9">
        <v>0.29399999999999998</v>
      </c>
      <c r="T9">
        <v>5.68233352496227</v>
      </c>
    </row>
    <row r="10" spans="1:23">
      <c r="A10" s="40">
        <v>0.69</v>
      </c>
      <c r="B10" s="505">
        <v>15.1551337632617</v>
      </c>
      <c r="C10" s="505">
        <v>17.892761</v>
      </c>
      <c r="D10" s="29">
        <v>22.382719000000002</v>
      </c>
      <c r="E10" s="26">
        <v>0.51200000000000001</v>
      </c>
      <c r="F10" s="514">
        <v>15.110709673804624</v>
      </c>
      <c r="G10" s="508">
        <v>18.193000000000001</v>
      </c>
      <c r="H10" s="509">
        <v>21.639852999999999</v>
      </c>
      <c r="I10">
        <v>0.52559999999999996</v>
      </c>
      <c r="J10">
        <v>6.6225809826005104</v>
      </c>
      <c r="L10">
        <v>0.65876543209876537</v>
      </c>
      <c r="M10">
        <v>9.3220585180555897</v>
      </c>
      <c r="O10">
        <f>29.6*1.3</f>
        <v>38.480000000000004</v>
      </c>
      <c r="R10" s="188"/>
      <c r="S10">
        <v>0.36720000000000003</v>
      </c>
      <c r="T10">
        <v>6.8544204446328001</v>
      </c>
    </row>
    <row r="11" spans="1:23">
      <c r="A11" s="26">
        <v>2.76E-2</v>
      </c>
      <c r="B11" s="515">
        <v>0.45860493883996706</v>
      </c>
      <c r="C11" s="414">
        <v>0.792296417293883</v>
      </c>
      <c r="D11" s="415">
        <v>0.67889297063561982</v>
      </c>
      <c r="E11" s="40">
        <v>0.65700000000000003</v>
      </c>
      <c r="F11" s="25">
        <v>15.46</v>
      </c>
      <c r="G11" s="51"/>
      <c r="H11" s="51"/>
      <c r="L11">
        <v>0.71598622725036898</v>
      </c>
      <c r="M11">
        <v>9.7085727577550749</v>
      </c>
      <c r="N11">
        <v>0.59085095917363506</v>
      </c>
      <c r="O11">
        <v>9.507500201910748</v>
      </c>
      <c r="R11" s="188"/>
    </row>
    <row r="12" spans="1:23">
      <c r="A12" t="s">
        <v>79</v>
      </c>
      <c r="E12" s="26">
        <v>0.94919999999999993</v>
      </c>
      <c r="F12" s="51">
        <v>17.649402031266792</v>
      </c>
      <c r="L12">
        <v>0.91177042801556429</v>
      </c>
      <c r="M12">
        <v>10.499917596573699</v>
      </c>
    </row>
    <row r="13" spans="1:23">
      <c r="A13">
        <v>1.584E-2</v>
      </c>
      <c r="B13">
        <v>1.5681369941316099</v>
      </c>
      <c r="E13" s="238">
        <v>1.2203999999999999</v>
      </c>
      <c r="F13" s="352">
        <v>17.735828771342572</v>
      </c>
    </row>
    <row r="14" spans="1:23">
      <c r="A14">
        <v>2.9279999999999994E-2</v>
      </c>
      <c r="B14">
        <v>1.9773601578092701</v>
      </c>
      <c r="E14">
        <v>1.0791999999999999</v>
      </c>
      <c r="F14">
        <v>17.450937178786823</v>
      </c>
    </row>
    <row r="15" spans="1:23">
      <c r="A15">
        <v>4.3726500000000001E-2</v>
      </c>
      <c r="B15">
        <v>2.4</v>
      </c>
      <c r="E15">
        <v>1.407</v>
      </c>
      <c r="F15">
        <v>17.011950582978201</v>
      </c>
    </row>
    <row r="16" spans="1:23">
      <c r="A16">
        <v>7.3499999999999996E-2</v>
      </c>
      <c r="B16">
        <v>3.2</v>
      </c>
    </row>
    <row r="18" spans="13:21">
      <c r="Q18" s="51" t="e">
        <f>#REF!-R10</f>
        <v>#REF!</v>
      </c>
    </row>
    <row r="20" spans="13:21">
      <c r="M20">
        <f>25*1.5</f>
        <v>37.5</v>
      </c>
    </row>
    <row r="31" spans="13:21">
      <c r="P31" t="s">
        <v>48</v>
      </c>
      <c r="T31" t="s">
        <v>57</v>
      </c>
    </row>
    <row r="32" spans="13:21">
      <c r="P32" t="s">
        <v>60</v>
      </c>
      <c r="Q32" t="s">
        <v>62</v>
      </c>
      <c r="R32" t="s">
        <v>63</v>
      </c>
      <c r="S32" t="s">
        <v>61</v>
      </c>
      <c r="T32" s="357" t="s">
        <v>62</v>
      </c>
      <c r="U32" s="357" t="s">
        <v>63</v>
      </c>
    </row>
    <row r="33" spans="4:21">
      <c r="P33">
        <f>Q33/4</f>
        <v>5.6599999999999998E-2</v>
      </c>
      <c r="Q33" s="51">
        <v>0.22639999999999999</v>
      </c>
      <c r="R33" s="51">
        <v>1.3846423855210439</v>
      </c>
      <c r="S33">
        <f>T33*7</f>
        <v>2.5634000000000001</v>
      </c>
      <c r="T33">
        <v>0.36620000000000003</v>
      </c>
      <c r="U33">
        <v>2.02</v>
      </c>
    </row>
    <row r="34" spans="4:21">
      <c r="P34" s="491">
        <f t="shared" ref="P34:P38" si="0">Q34/4</f>
        <v>8.7300000000000003E-2</v>
      </c>
      <c r="Q34" s="51">
        <v>0.34920000000000001</v>
      </c>
      <c r="R34">
        <v>3.79</v>
      </c>
      <c r="S34" s="491">
        <f t="shared" ref="S34:S37" si="1">T34*7</f>
        <v>2.8056000000000001</v>
      </c>
      <c r="T34">
        <v>0.40079999999999999</v>
      </c>
      <c r="U34">
        <v>2.5</v>
      </c>
    </row>
    <row r="35" spans="4:21">
      <c r="P35" s="491">
        <f t="shared" si="0"/>
        <v>0.10780000000000001</v>
      </c>
      <c r="Q35">
        <v>0.43120000000000003</v>
      </c>
      <c r="R35" s="51">
        <v>5.0490151948066639</v>
      </c>
      <c r="S35" s="491">
        <f t="shared" si="1"/>
        <v>3.3137999999999996</v>
      </c>
      <c r="T35">
        <v>0.47339999999999993</v>
      </c>
      <c r="U35">
        <v>4.2659801105249464</v>
      </c>
    </row>
    <row r="36" spans="4:21">
      <c r="P36" s="491">
        <f t="shared" si="0"/>
        <v>0.12014999999999999</v>
      </c>
      <c r="Q36">
        <v>0.48059999999999997</v>
      </c>
      <c r="R36">
        <v>6.6267175203592119</v>
      </c>
      <c r="S36" s="491">
        <f t="shared" si="1"/>
        <v>3.661</v>
      </c>
      <c r="T36">
        <v>0.52300000000000002</v>
      </c>
      <c r="U36">
        <v>5.5260238066926171</v>
      </c>
    </row>
    <row r="37" spans="4:21">
      <c r="P37" s="491">
        <f t="shared" si="0"/>
        <v>0.13250000000000001</v>
      </c>
      <c r="Q37">
        <v>0.53</v>
      </c>
      <c r="R37">
        <v>7.4718151969799607</v>
      </c>
      <c r="S37" s="491">
        <f t="shared" si="1"/>
        <v>3.9193000000000007</v>
      </c>
      <c r="T37">
        <v>0.55990000000000006</v>
      </c>
      <c r="U37">
        <v>5.9</v>
      </c>
    </row>
    <row r="38" spans="4:21">
      <c r="P38" s="491">
        <f t="shared" si="0"/>
        <v>0.17352500000000001</v>
      </c>
      <c r="Q38">
        <v>0.69410000000000005</v>
      </c>
      <c r="R38">
        <v>7.5423163200805377</v>
      </c>
    </row>
    <row r="45" spans="4:21">
      <c r="D45" s="21">
        <v>42268</v>
      </c>
      <c r="E45" s="51" t="s">
        <v>68</v>
      </c>
      <c r="N45" s="408" t="s">
        <v>70</v>
      </c>
      <c r="O45" s="407" t="s">
        <v>73</v>
      </c>
    </row>
    <row r="46" spans="4:21">
      <c r="D46" t="s">
        <v>67</v>
      </c>
      <c r="N46" s="408" t="s">
        <v>71</v>
      </c>
    </row>
    <row r="47" spans="4:21" ht="18">
      <c r="E47" s="395">
        <f>0.1357-0.001</f>
        <v>0.13469999999999999</v>
      </c>
      <c r="G47" s="51" t="s">
        <v>4</v>
      </c>
      <c r="H47" s="51"/>
      <c r="I47" s="51" t="s">
        <v>5</v>
      </c>
      <c r="J47" s="52" t="s">
        <v>6</v>
      </c>
      <c r="N47" s="416" t="s">
        <v>69</v>
      </c>
      <c r="O47" s="417" t="s">
        <v>6</v>
      </c>
      <c r="P47" s="417" t="s">
        <v>83</v>
      </c>
      <c r="Q47" s="418" t="s">
        <v>72</v>
      </c>
    </row>
    <row r="48" spans="4:21">
      <c r="D48" t="s">
        <v>16</v>
      </c>
      <c r="E48" s="320">
        <f>(E47/20)*(20.3+15.2)</f>
        <v>0.23909249999999999</v>
      </c>
      <c r="G48" s="393">
        <v>24.098978882967156</v>
      </c>
      <c r="I48" s="398">
        <v>32.274128930218801</v>
      </c>
      <c r="J48">
        <f>I48-G48</f>
        <v>8.1751500472516447</v>
      </c>
      <c r="K48" s="394">
        <f>J49-E48</f>
        <v>3.1802595641423903E-3</v>
      </c>
      <c r="N48" s="410">
        <v>0.23909249999999999</v>
      </c>
      <c r="O48" s="411">
        <v>7.1751500472516403</v>
      </c>
      <c r="P48" s="411">
        <v>0.26739805686340218</v>
      </c>
      <c r="Q48" s="409">
        <f>100*(P48-N48)/N48</f>
        <v>11.838747289606404</v>
      </c>
    </row>
    <row r="49" spans="4:17">
      <c r="J49" s="319">
        <f>(O48)/29.616</f>
        <v>0.24227275956414238</v>
      </c>
      <c r="K49" s="394">
        <f>100*K48/E48</f>
        <v>1.3301377350366033</v>
      </c>
      <c r="N49" s="410">
        <v>0.24175499999999997</v>
      </c>
      <c r="O49" s="411">
        <v>7.6987396299087756</v>
      </c>
      <c r="P49" s="411">
        <v>0.25934241882774445</v>
      </c>
      <c r="Q49" s="412">
        <f t="shared" ref="Q49:Q50" si="2">100*(P49-N49)/N49</f>
        <v>7.2748935193664996</v>
      </c>
    </row>
    <row r="50" spans="4:17">
      <c r="G50" s="397">
        <v>24.106615728534216</v>
      </c>
      <c r="I50" s="396">
        <v>31.969006655753098</v>
      </c>
      <c r="J50" s="397">
        <f>I50-G50</f>
        <v>7.8623909272188826</v>
      </c>
      <c r="K50" s="394">
        <f>J51-E48</f>
        <v>-9.7304921092039032E-3</v>
      </c>
      <c r="N50" s="410">
        <v>0.23873749999999999</v>
      </c>
      <c r="O50" s="411">
        <v>7.8172908614451373</v>
      </c>
      <c r="P50" s="411">
        <v>0.26475596426526948</v>
      </c>
      <c r="Q50" s="412">
        <f t="shared" si="2"/>
        <v>10.898356674284305</v>
      </c>
    </row>
    <row r="51" spans="4:17">
      <c r="J51" s="319">
        <f>(J48)/35.643</f>
        <v>0.22936200789079608</v>
      </c>
      <c r="K51" s="394">
        <f>100*K50/E48</f>
        <v>-4.0697604940363679</v>
      </c>
      <c r="N51" s="410">
        <v>0.36984800000000001</v>
      </c>
      <c r="O51" s="411">
        <v>10.645137914725375</v>
      </c>
      <c r="P51" s="411">
        <v>0.39388729689599405</v>
      </c>
      <c r="Q51" s="412">
        <f>100*(P51-N51)/N51</f>
        <v>6.4997774480310948</v>
      </c>
    </row>
    <row r="52" spans="4:17">
      <c r="N52" s="413">
        <v>0.390457</v>
      </c>
      <c r="O52" s="414">
        <v>11.233241035535393</v>
      </c>
      <c r="P52" s="414">
        <v>0.42074254694439889</v>
      </c>
      <c r="Q52" s="415">
        <f>100*(P52-N52)/N52</f>
        <v>7.7564359057204477</v>
      </c>
    </row>
    <row r="53" spans="4:17" ht="18">
      <c r="E53" s="395">
        <f>0.1386-0.0024</f>
        <v>0.13619999999999999</v>
      </c>
      <c r="F53" s="398"/>
      <c r="G53" s="51" t="s">
        <v>4</v>
      </c>
      <c r="H53" s="51"/>
      <c r="I53" s="51" t="s">
        <v>5</v>
      </c>
      <c r="J53" s="52" t="s">
        <v>6</v>
      </c>
      <c r="K53" s="398"/>
    </row>
    <row r="54" spans="4:17">
      <c r="D54" s="402" t="s">
        <v>16</v>
      </c>
      <c r="E54" s="320">
        <f>(E53/20)*(20.3+15.2)</f>
        <v>0.24175499999999997</v>
      </c>
      <c r="F54" s="398"/>
      <c r="G54" s="400">
        <v>24.434068765286721</v>
      </c>
      <c r="I54" s="399">
        <v>32.132808395195497</v>
      </c>
      <c r="J54" s="398">
        <f>I54-G54</f>
        <v>7.6987396299087756</v>
      </c>
      <c r="K54" s="394">
        <f>J55-E54</f>
        <v>-5.1804177901977444E-2</v>
      </c>
    </row>
    <row r="55" spans="4:17">
      <c r="E55" s="398"/>
      <c r="F55" s="398"/>
      <c r="G55" s="398"/>
      <c r="I55" s="398"/>
      <c r="J55" s="319">
        <f>(J54-2.0194)/29.899</f>
        <v>0.18995082209802253</v>
      </c>
      <c r="K55" s="394">
        <f>K54/E54</f>
        <v>-0.21428379103628653</v>
      </c>
    </row>
    <row r="56" spans="4:17">
      <c r="E56" s="398"/>
      <c r="F56" s="398"/>
      <c r="G56" s="402">
        <v>24.773070202652814</v>
      </c>
      <c r="I56" s="401">
        <v>32.555349472483996</v>
      </c>
      <c r="J56" s="398">
        <f>I56-G56</f>
        <v>7.7822792698311822</v>
      </c>
      <c r="K56" s="394">
        <f>J57-E54</f>
        <v>-4.9010116564728479E-2</v>
      </c>
    </row>
    <row r="57" spans="4:17">
      <c r="E57" s="398"/>
      <c r="F57" s="398"/>
      <c r="G57" s="398"/>
      <c r="I57" s="398"/>
      <c r="J57" s="319">
        <f>(J56-2.0194)/29.899</f>
        <v>0.19274488343527149</v>
      </c>
      <c r="K57" s="394">
        <f>K56/E54</f>
        <v>-0.2027263823487766</v>
      </c>
    </row>
    <row r="59" spans="4:17" ht="18">
      <c r="D59" s="402"/>
      <c r="E59" s="395">
        <f>0.1437-0.0092</f>
        <v>0.13450000000000001</v>
      </c>
      <c r="F59" s="402"/>
      <c r="G59" s="51" t="s">
        <v>4</v>
      </c>
      <c r="H59" s="51"/>
      <c r="I59" s="51" t="s">
        <v>5</v>
      </c>
      <c r="J59" s="52" t="s">
        <v>6</v>
      </c>
      <c r="K59" s="402"/>
    </row>
    <row r="60" spans="4:17">
      <c r="D60" s="402" t="s">
        <v>16</v>
      </c>
      <c r="E60" s="320">
        <f>(E59/20)*(20.3+15.2)</f>
        <v>0.23873749999999999</v>
      </c>
      <c r="F60" s="402"/>
      <c r="G60" s="404">
        <v>24.773256467178861</v>
      </c>
      <c r="I60" s="403">
        <v>32.590547328623998</v>
      </c>
      <c r="J60" s="402">
        <f>I60-G60</f>
        <v>7.8172908614451373</v>
      </c>
      <c r="K60" s="394">
        <f>J61-E60</f>
        <v>-4.4821621159733205E-2</v>
      </c>
    </row>
    <row r="61" spans="4:17">
      <c r="D61" s="402"/>
      <c r="E61" s="402"/>
      <c r="F61" s="402"/>
      <c r="G61" s="402"/>
      <c r="I61" s="402"/>
      <c r="J61" s="319">
        <f>(J60-2.0194)/29.899</f>
        <v>0.19391587884026679</v>
      </c>
      <c r="K61" s="394">
        <f>K60/E60</f>
        <v>-0.18774436843702061</v>
      </c>
    </row>
    <row r="62" spans="4:17">
      <c r="D62" s="402"/>
      <c r="E62" s="402"/>
      <c r="F62" s="402"/>
      <c r="G62" s="406">
        <v>24.424010480881375</v>
      </c>
      <c r="I62" s="405">
        <v>32.530014427305098</v>
      </c>
      <c r="J62" s="402">
        <f>I62-G62</f>
        <v>8.1060039464237228</v>
      </c>
      <c r="K62" s="394">
        <f>J63-E60</f>
        <v>3.9202312156889463E-2</v>
      </c>
    </row>
    <row r="63" spans="4:17">
      <c r="D63" s="402"/>
      <c r="E63" s="402"/>
      <c r="F63" s="402"/>
      <c r="G63" s="402"/>
      <c r="I63" s="402"/>
      <c r="J63" s="319">
        <f>(J62-2.0194)/21.899</f>
        <v>0.27793981215688945</v>
      </c>
      <c r="K63" s="394">
        <f>K62/E60</f>
        <v>0.16420676331489381</v>
      </c>
    </row>
    <row r="66" spans="3:11">
      <c r="D66" s="21">
        <v>42275</v>
      </c>
    </row>
    <row r="67" spans="3:11" ht="18">
      <c r="D67" s="423"/>
      <c r="E67" s="395">
        <f>0.1417-0.0015</f>
        <v>0.14019999999999999</v>
      </c>
      <c r="F67" s="423"/>
      <c r="G67" s="51" t="s">
        <v>4</v>
      </c>
      <c r="H67" s="51"/>
      <c r="I67" s="51" t="s">
        <v>5</v>
      </c>
      <c r="J67" s="52" t="s">
        <v>6</v>
      </c>
      <c r="K67" s="423"/>
    </row>
    <row r="68" spans="3:11">
      <c r="D68" s="423" t="s">
        <v>16</v>
      </c>
      <c r="E68" s="320">
        <f>(E67/20)*(20.3+15.2+20.2)</f>
        <v>0.390457</v>
      </c>
      <c r="F68" s="423"/>
      <c r="G68" s="425">
        <v>25.424157853374354</v>
      </c>
      <c r="I68" s="424">
        <v>36.897725158794202</v>
      </c>
      <c r="J68" s="423">
        <f>I68-G68</f>
        <v>11.473567305419849</v>
      </c>
      <c r="K68" s="394">
        <f>J69-E68</f>
        <v>-7.4253538164492205E-2</v>
      </c>
    </row>
    <row r="69" spans="3:11">
      <c r="D69" s="423"/>
      <c r="E69" s="423"/>
      <c r="F69" s="423"/>
      <c r="G69" s="423"/>
      <c r="I69" s="423"/>
      <c r="J69" s="319">
        <f>(J68-2.0194)/29.899</f>
        <v>0.31620346183550779</v>
      </c>
      <c r="K69" s="394">
        <f>K68/E68</f>
        <v>-0.1901708463787106</v>
      </c>
    </row>
    <row r="70" spans="3:11">
      <c r="D70" s="423"/>
      <c r="E70" s="423"/>
      <c r="F70" s="423"/>
      <c r="G70" s="426">
        <v>24.768506721765206</v>
      </c>
      <c r="I70" s="427">
        <v>36.001747757300599</v>
      </c>
      <c r="J70" s="423">
        <f>I70-G70</f>
        <v>11.233241035535393</v>
      </c>
      <c r="K70" s="394">
        <f>J71-E68</f>
        <v>3.0285546944398889E-2</v>
      </c>
    </row>
    <row r="71" spans="3:11">
      <c r="D71" s="423"/>
      <c r="E71" s="423"/>
      <c r="F71" s="423"/>
      <c r="G71" s="423"/>
      <c r="I71" s="423"/>
      <c r="J71" s="319">
        <f>(J70-2.0194)/21.899</f>
        <v>0.42074254694439889</v>
      </c>
      <c r="K71" s="394">
        <f>K70/E68</f>
        <v>7.7564359057204477E-2</v>
      </c>
    </row>
    <row r="72" spans="3:11" s="441" customFormat="1">
      <c r="C72" s="502"/>
      <c r="H72" s="502"/>
      <c r="J72" s="319"/>
      <c r="K72" s="394"/>
    </row>
    <row r="73" spans="3:11" ht="18">
      <c r="D73" s="427"/>
      <c r="E73" s="395">
        <f>0.1435-0.0107</f>
        <v>0.1328</v>
      </c>
      <c r="F73" s="427"/>
      <c r="G73" s="51" t="s">
        <v>4</v>
      </c>
      <c r="H73" s="51"/>
      <c r="I73" s="51" t="s">
        <v>5</v>
      </c>
      <c r="J73" s="52" t="s">
        <v>6</v>
      </c>
      <c r="K73" s="427"/>
    </row>
    <row r="74" spans="3:11">
      <c r="D74" s="427"/>
      <c r="E74" s="320">
        <f>(E73/20)*(20.3+15.2+20.2)</f>
        <v>0.36984800000000001</v>
      </c>
      <c r="F74" s="427"/>
      <c r="G74" s="429">
        <v>24.975912271494401</v>
      </c>
      <c r="I74" s="428">
        <v>35.962355879685603</v>
      </c>
      <c r="J74" s="427">
        <f>I74-G74</f>
        <v>10.986443608191202</v>
      </c>
      <c r="K74" s="394">
        <f>J75-E74</f>
        <v>-6.993684550683299E-2</v>
      </c>
    </row>
    <row r="75" spans="3:11">
      <c r="D75" s="427"/>
      <c r="E75" s="427"/>
      <c r="F75" s="427"/>
      <c r="G75" s="427"/>
      <c r="I75" s="427"/>
      <c r="J75" s="319">
        <f>(J74-2.0194)/29.899</f>
        <v>0.29991115449316702</v>
      </c>
      <c r="K75" s="394">
        <f>K74/E74</f>
        <v>-0.18909618412654114</v>
      </c>
    </row>
    <row r="76" spans="3:11">
      <c r="D76" s="427"/>
      <c r="E76" s="427"/>
      <c r="F76" s="427"/>
      <c r="G76" s="431">
        <v>25.551842185964723</v>
      </c>
      <c r="I76" s="430">
        <v>36.796980100690099</v>
      </c>
      <c r="J76" s="427">
        <f>I76-G76</f>
        <v>11.245137914725376</v>
      </c>
      <c r="K76" s="394">
        <f>J77-E74</f>
        <v>-6.1284572637032186E-2</v>
      </c>
    </row>
    <row r="77" spans="3:11">
      <c r="D77" s="427"/>
      <c r="E77" s="427"/>
      <c r="F77" s="427"/>
      <c r="G77" s="427"/>
      <c r="I77" s="427"/>
      <c r="J77" s="319">
        <f>(J76-2.0194)/29.899</f>
        <v>0.30856342736296782</v>
      </c>
      <c r="K77" s="394">
        <f>K76/E74</f>
        <v>-0.16570205229454313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56"/>
  <sheetViews>
    <sheetView tabSelected="1" topLeftCell="A25" workbookViewId="0">
      <selection activeCell="D26" sqref="D26:K56"/>
    </sheetView>
  </sheetViews>
  <sheetFormatPr defaultRowHeight="15"/>
  <sheetData>
    <row r="3" spans="4:33">
      <c r="E3" s="322">
        <v>42304</v>
      </c>
      <c r="F3" s="319"/>
      <c r="G3" s="319"/>
      <c r="H3" s="319"/>
      <c r="I3" s="319"/>
      <c r="J3" s="319"/>
      <c r="K3" s="319"/>
    </row>
    <row r="4" spans="4:33">
      <c r="E4" s="482" t="s">
        <v>24</v>
      </c>
      <c r="F4" s="483" t="s">
        <v>78</v>
      </c>
      <c r="G4" s="483"/>
      <c r="H4" s="483"/>
      <c r="I4" s="483"/>
      <c r="J4" s="483"/>
      <c r="K4" s="483"/>
      <c r="O4" t="s">
        <v>80</v>
      </c>
      <c r="Q4">
        <f>0.13/20*8</f>
        <v>5.2000000000000005E-2</v>
      </c>
      <c r="V4" t="s">
        <v>82</v>
      </c>
    </row>
    <row r="5" spans="4:33" ht="16.5">
      <c r="E5" s="483"/>
      <c r="F5" s="484" t="s">
        <v>2</v>
      </c>
      <c r="G5" s="485" t="s">
        <v>3</v>
      </c>
      <c r="H5" s="485" t="s">
        <v>81</v>
      </c>
      <c r="I5" s="485" t="s">
        <v>5</v>
      </c>
      <c r="J5" s="485" t="s">
        <v>6</v>
      </c>
      <c r="K5" s="489"/>
      <c r="M5" s="488">
        <v>42325</v>
      </c>
      <c r="N5" s="484" t="s">
        <v>2</v>
      </c>
      <c r="O5" s="485" t="s">
        <v>3</v>
      </c>
      <c r="P5" s="485" t="s">
        <v>81</v>
      </c>
      <c r="Q5" s="485" t="s">
        <v>5</v>
      </c>
      <c r="R5" s="485" t="s">
        <v>6</v>
      </c>
      <c r="S5" s="489"/>
      <c r="U5" s="488">
        <v>42338</v>
      </c>
      <c r="V5" s="484" t="s">
        <v>2</v>
      </c>
      <c r="W5" s="485" t="s">
        <v>3</v>
      </c>
      <c r="X5" s="485" t="s">
        <v>81</v>
      </c>
      <c r="Y5" s="485" t="s">
        <v>5</v>
      </c>
      <c r="Z5" s="485" t="s">
        <v>6</v>
      </c>
      <c r="AA5" s="489"/>
      <c r="AE5">
        <f>AE8*0.13</f>
        <v>2.4249254399809486</v>
      </c>
    </row>
    <row r="6" spans="4:33">
      <c r="D6" s="51"/>
      <c r="E6" s="483">
        <f>0.1469-0.0081</f>
        <v>0.13880000000000001</v>
      </c>
      <c r="F6" s="486">
        <v>20</v>
      </c>
      <c r="G6" s="487">
        <v>100</v>
      </c>
      <c r="H6" s="487">
        <v>24.098885750704159</v>
      </c>
      <c r="I6" s="487">
        <v>24.9261525229306</v>
      </c>
      <c r="J6" s="487">
        <f t="shared" ref="J6:J23" si="0">I6-H6</f>
        <v>0.82726677222644085</v>
      </c>
      <c r="K6" s="486">
        <f>J6/E6</f>
        <v>5.96013524658819</v>
      </c>
      <c r="M6" s="481">
        <f>0.1329-0.0065</f>
        <v>0.12639999999999998</v>
      </c>
      <c r="N6" s="492">
        <v>20</v>
      </c>
      <c r="O6" s="493">
        <v>100</v>
      </c>
      <c r="P6" s="483">
        <v>24.432764913604554</v>
      </c>
      <c r="Q6" s="483">
        <v>25.702596199667202</v>
      </c>
      <c r="R6" s="493">
        <f t="shared" ref="R6:R11" si="1">Q6-P6</f>
        <v>1.2698312860626473</v>
      </c>
      <c r="S6" s="486">
        <f>R6/M6</f>
        <v>10.046133592267781</v>
      </c>
      <c r="U6" s="481">
        <f>0.1239-0.0063</f>
        <v>0.1176</v>
      </c>
      <c r="V6" s="492">
        <v>20</v>
      </c>
      <c r="W6" s="493">
        <v>100</v>
      </c>
      <c r="X6" s="483">
        <v>22.198987590000002</v>
      </c>
      <c r="Y6" s="483">
        <v>23.738929550000002</v>
      </c>
      <c r="Z6" s="493">
        <f t="shared" ref="Z6:Z8" si="2">Y6-X6</f>
        <v>1.5399419600000002</v>
      </c>
      <c r="AA6" s="486">
        <f>Z6/U6</f>
        <v>13.09474455782313</v>
      </c>
      <c r="AB6" s="502">
        <v>13.865977695852548</v>
      </c>
      <c r="AC6">
        <v>12.774519860017481</v>
      </c>
      <c r="AD6">
        <v>11.916915243134799</v>
      </c>
      <c r="AE6">
        <f>AVERAGE(AA6:AD6)</f>
        <v>12.913039339206989</v>
      </c>
      <c r="AF6">
        <f>_xlfn.STDEV.S(AA6:AD6)</f>
        <v>0.80675464236434136</v>
      </c>
      <c r="AG6">
        <f>AF6/AE6</f>
        <v>6.2475968760882399E-2</v>
      </c>
    </row>
    <row r="7" spans="4:33">
      <c r="D7" s="51"/>
      <c r="E7" s="483">
        <f>0.1469-0.0196</f>
        <v>0.1273</v>
      </c>
      <c r="F7" s="486">
        <v>20</v>
      </c>
      <c r="G7" s="487">
        <v>100</v>
      </c>
      <c r="H7" s="487">
        <v>23.391173684070917</v>
      </c>
      <c r="I7" s="487">
        <v>24.171664009789499</v>
      </c>
      <c r="J7" s="487">
        <f t="shared" si="0"/>
        <v>0.78049032571858135</v>
      </c>
      <c r="K7" s="486">
        <f>J7/E7</f>
        <v>6.1311101784648967</v>
      </c>
      <c r="M7" s="481">
        <f>M6/20*8</f>
        <v>5.0559999999999994E-2</v>
      </c>
      <c r="N7" s="486">
        <v>20</v>
      </c>
      <c r="O7" s="487">
        <v>130</v>
      </c>
      <c r="P7" s="483">
        <v>24.439842965593527</v>
      </c>
      <c r="Q7" s="483">
        <v>25.8616901553685</v>
      </c>
      <c r="R7" s="487">
        <f t="shared" si="1"/>
        <v>1.4218471897749723</v>
      </c>
      <c r="S7" s="486">
        <f>R7/M6</f>
        <v>11.248791058346301</v>
      </c>
      <c r="U7" s="481">
        <f>0.13/20*12</f>
        <v>7.8000000000000014E-2</v>
      </c>
      <c r="V7" s="486">
        <v>20</v>
      </c>
      <c r="W7" s="487">
        <v>130</v>
      </c>
      <c r="X7" s="483">
        <v>22.539665400000001</v>
      </c>
      <c r="Y7" s="483">
        <v>24.085754099999999</v>
      </c>
      <c r="Z7" s="487">
        <f t="shared" si="2"/>
        <v>1.5460886999999985</v>
      </c>
      <c r="AA7" s="486">
        <f>Z7/U6</f>
        <v>13.147012755102029</v>
      </c>
      <c r="AB7" s="501">
        <v>14.247090322580663</v>
      </c>
      <c r="AC7">
        <v>13.577103237095361</v>
      </c>
      <c r="AD7">
        <v>12.954564363942723</v>
      </c>
      <c r="AE7" s="502">
        <f t="shared" ref="AE7:AE8" si="3">AVERAGE(AA7:AD7)</f>
        <v>13.481442669680195</v>
      </c>
      <c r="AF7" s="502">
        <f t="shared" ref="AF7:AF8" si="4">_xlfn.STDEV.S(AA7:AD7)</f>
        <v>0.57294891842459372</v>
      </c>
      <c r="AG7" s="502">
        <f t="shared" ref="AG7:AG8" si="5">AF7/AE7</f>
        <v>4.2499080585281686E-2</v>
      </c>
    </row>
    <row r="8" spans="4:33">
      <c r="D8" s="51"/>
      <c r="E8" s="483">
        <f>0.1342-0.001</f>
        <v>0.13320000000000001</v>
      </c>
      <c r="F8" s="486">
        <v>20</v>
      </c>
      <c r="G8" s="487">
        <v>100</v>
      </c>
      <c r="H8" s="487">
        <v>23.74898783856559</v>
      </c>
      <c r="I8" s="487">
        <v>24.536778556512498</v>
      </c>
      <c r="J8" s="487">
        <f t="shared" si="0"/>
        <v>0.78779071794690836</v>
      </c>
      <c r="K8" s="486">
        <f>J8/E8</f>
        <v>5.9143447293311429</v>
      </c>
      <c r="M8" s="481"/>
      <c r="N8" s="494">
        <v>30</v>
      </c>
      <c r="O8" s="495">
        <v>130</v>
      </c>
      <c r="P8" s="496">
        <v>24.2339756330237</v>
      </c>
      <c r="Q8" s="496">
        <v>25.930352683684401</v>
      </c>
      <c r="R8" s="497">
        <f t="shared" si="1"/>
        <v>1.6963770506607005</v>
      </c>
      <c r="S8" s="486">
        <f>R8/M6</f>
        <v>13.420704514720734</v>
      </c>
      <c r="U8" s="481"/>
      <c r="V8" s="494">
        <v>30</v>
      </c>
      <c r="W8" s="495">
        <v>130</v>
      </c>
      <c r="X8" s="496">
        <v>22.532959880409226</v>
      </c>
      <c r="Y8" s="496">
        <v>24.734606578028608</v>
      </c>
      <c r="Z8" s="496">
        <f t="shared" si="2"/>
        <v>2.2016466976193811</v>
      </c>
      <c r="AA8" s="486">
        <f>Z8/U6</f>
        <v>18.72148552397433</v>
      </c>
      <c r="AB8">
        <v>19.093816497695851</v>
      </c>
      <c r="AC8">
        <v>17.556613123359575</v>
      </c>
      <c r="AD8">
        <v>19.241175315922504</v>
      </c>
      <c r="AE8" s="502">
        <f t="shared" si="3"/>
        <v>18.653272615238066</v>
      </c>
      <c r="AF8" s="502">
        <f t="shared" si="4"/>
        <v>0.76311282256480828</v>
      </c>
      <c r="AG8" s="502">
        <f t="shared" si="5"/>
        <v>4.0910398850945488E-2</v>
      </c>
    </row>
    <row r="9" spans="4:33">
      <c r="E9" s="483"/>
      <c r="F9" s="486">
        <v>20</v>
      </c>
      <c r="G9" s="487">
        <v>130</v>
      </c>
      <c r="H9" s="487">
        <v>23.567007396638829</v>
      </c>
      <c r="I9" s="487">
        <v>24.745914473886199</v>
      </c>
      <c r="J9" s="487">
        <f t="shared" si="0"/>
        <v>1.17890707724737</v>
      </c>
      <c r="K9" s="486">
        <f>J9/E8</f>
        <v>8.8506537330883628</v>
      </c>
      <c r="L9" s="21">
        <v>42330</v>
      </c>
      <c r="M9" s="481">
        <f>0.1384</f>
        <v>0.1384</v>
      </c>
      <c r="N9" s="492">
        <v>20</v>
      </c>
      <c r="O9" s="493">
        <v>100</v>
      </c>
      <c r="P9" s="483">
        <v>21.863152644822161</v>
      </c>
      <c r="Q9" s="483">
        <v>23.224560065541272</v>
      </c>
      <c r="R9" s="487">
        <f t="shared" si="1"/>
        <v>1.3614074207191109</v>
      </c>
      <c r="S9" s="486">
        <f>R9/M9</f>
        <v>9.8367588202247909</v>
      </c>
      <c r="U9" s="481">
        <f>0.125-0.0165</f>
        <v>0.1085</v>
      </c>
      <c r="V9" s="492">
        <v>20</v>
      </c>
      <c r="W9" s="493">
        <v>100</v>
      </c>
      <c r="X9" s="483">
        <v>21.97491136</v>
      </c>
      <c r="Y9" s="483">
        <v>23.479369940000002</v>
      </c>
      <c r="Z9" s="493">
        <f t="shared" ref="Z9:Z11" si="6">Y9-X9</f>
        <v>1.5044585800000014</v>
      </c>
      <c r="AA9" s="486">
        <f>Z9/U9</f>
        <v>13.865977695852548</v>
      </c>
      <c r="AB9" s="498">
        <v>12.913039339206989</v>
      </c>
      <c r="AC9">
        <f>AB9*0.13</f>
        <v>1.6786951140969086</v>
      </c>
    </row>
    <row r="10" spans="4:33">
      <c r="E10" s="483">
        <f>0.1463-0.0096</f>
        <v>0.13670000000000002</v>
      </c>
      <c r="F10" s="486">
        <v>20</v>
      </c>
      <c r="G10" s="487">
        <v>100</v>
      </c>
      <c r="H10" s="487">
        <v>23.118975199399902</v>
      </c>
      <c r="I10" s="487">
        <v>23.950384822510799</v>
      </c>
      <c r="J10" s="487">
        <f t="shared" si="0"/>
        <v>0.83140962311089694</v>
      </c>
      <c r="K10" s="486">
        <f t="shared" ref="K10" si="7">J10/E10</f>
        <v>6.0820016321206793</v>
      </c>
      <c r="M10" s="481">
        <f>M9/20*8</f>
        <v>5.5359999999999999E-2</v>
      </c>
      <c r="N10" s="486">
        <v>20</v>
      </c>
      <c r="O10" s="487">
        <v>130</v>
      </c>
      <c r="P10" s="483">
        <v>22.222456915525019</v>
      </c>
      <c r="Q10" s="483">
        <v>23.766589836274971</v>
      </c>
      <c r="R10" s="487">
        <f t="shared" si="1"/>
        <v>1.5441329207499521</v>
      </c>
      <c r="S10" s="486">
        <f>R10/M9</f>
        <v>11.157029774204856</v>
      </c>
      <c r="U10" s="481">
        <f>0.13/20*12</f>
        <v>7.8000000000000014E-2</v>
      </c>
      <c r="V10" s="486">
        <v>20</v>
      </c>
      <c r="W10" s="487">
        <v>130</v>
      </c>
      <c r="X10" s="483">
        <v>22.196286749999999</v>
      </c>
      <c r="Y10" s="483">
        <v>23.742096050000001</v>
      </c>
      <c r="Z10" s="487">
        <f t="shared" si="6"/>
        <v>1.5458093000000019</v>
      </c>
      <c r="AA10" s="486">
        <f>Z10/U9</f>
        <v>14.247090322580663</v>
      </c>
      <c r="AB10" s="498">
        <v>13.481442669680195</v>
      </c>
      <c r="AC10" s="502">
        <f t="shared" ref="AC10:AC11" si="8">AB10*0.13</f>
        <v>1.7525875470584253</v>
      </c>
    </row>
    <row r="11" spans="4:33">
      <c r="D11" s="21">
        <v>42325</v>
      </c>
      <c r="E11" s="483"/>
      <c r="F11" s="486">
        <v>20</v>
      </c>
      <c r="G11" s="487">
        <v>130</v>
      </c>
      <c r="H11" s="487">
        <v>23.743027373732762</v>
      </c>
      <c r="I11" s="487">
        <v>24.9533650549272</v>
      </c>
      <c r="J11" s="487">
        <f t="shared" si="0"/>
        <v>1.2103376811944386</v>
      </c>
      <c r="K11" s="486">
        <f>J11/E10</f>
        <v>8.8539698697471731</v>
      </c>
      <c r="M11" s="481"/>
      <c r="N11" s="494">
        <v>30</v>
      </c>
      <c r="O11" s="495">
        <v>130</v>
      </c>
      <c r="P11" s="496">
        <v>22.559502575367837</v>
      </c>
      <c r="Q11" s="496">
        <v>24.439470436541463</v>
      </c>
      <c r="R11" s="497">
        <f t="shared" si="1"/>
        <v>1.8799678611736255</v>
      </c>
      <c r="S11" s="486">
        <f>R11/M9</f>
        <v>13.583582811948162</v>
      </c>
      <c r="U11" s="481"/>
      <c r="V11" s="494">
        <v>30</v>
      </c>
      <c r="W11" s="495">
        <v>130</v>
      </c>
      <c r="X11" s="496">
        <v>22.54171431</v>
      </c>
      <c r="Y11" s="496">
        <v>24.6133934</v>
      </c>
      <c r="Z11" s="496">
        <f t="shared" si="6"/>
        <v>2.0716790899999999</v>
      </c>
      <c r="AA11" s="486">
        <f>Z11/U9</f>
        <v>19.093816497695851</v>
      </c>
      <c r="AB11" s="498">
        <v>18.653272615238066</v>
      </c>
      <c r="AC11" s="502">
        <f t="shared" si="8"/>
        <v>2.4249254399809486</v>
      </c>
    </row>
    <row r="12" spans="4:33">
      <c r="D12">
        <f>E12/20*4</f>
        <v>2.7460000000000002E-2</v>
      </c>
      <c r="E12" s="472">
        <f>0.1383-0.001</f>
        <v>0.13730000000000001</v>
      </c>
      <c r="F12" s="473">
        <v>20</v>
      </c>
      <c r="G12" s="474">
        <v>100</v>
      </c>
      <c r="H12" s="474">
        <v>24.286454128411652</v>
      </c>
      <c r="I12" s="474">
        <v>25.123806305158514</v>
      </c>
      <c r="J12" s="474">
        <f t="shared" si="0"/>
        <v>0.83735217674686169</v>
      </c>
      <c r="K12" s="473">
        <f>J12/E12</f>
        <v>6.0987048561315484</v>
      </c>
      <c r="L12" s="21">
        <v>42331</v>
      </c>
      <c r="M12" s="481">
        <f>0.1462-0.0016</f>
        <v>0.14460000000000001</v>
      </c>
      <c r="N12" s="492">
        <v>20</v>
      </c>
      <c r="O12" s="493">
        <v>100</v>
      </c>
      <c r="P12" s="483">
        <v>21.678191970479002</v>
      </c>
      <c r="Q12" s="483">
        <v>22.7340984484016</v>
      </c>
      <c r="R12" s="487">
        <f t="shared" ref="R12:R17" si="9">Q12-P12</f>
        <v>1.0559064779225977</v>
      </c>
      <c r="S12" s="492">
        <f>R12/M12</f>
        <v>7.3022578002945897</v>
      </c>
      <c r="T12" s="498">
        <v>9.2641501105362387</v>
      </c>
      <c r="U12" s="481">
        <f>0.1248-0.0105</f>
        <v>0.1143</v>
      </c>
      <c r="V12" s="492">
        <v>20</v>
      </c>
      <c r="W12" s="493">
        <v>100</v>
      </c>
      <c r="X12" s="483">
        <v>22.199732640000001</v>
      </c>
      <c r="Y12" s="483">
        <v>23.659860259999999</v>
      </c>
      <c r="Z12" s="493">
        <f t="shared" ref="Z12:Z14" si="10">Y12-X12</f>
        <v>1.460127619999998</v>
      </c>
      <c r="AA12" s="486">
        <f>Z12/U12</f>
        <v>12.774519860017481</v>
      </c>
    </row>
    <row r="13" spans="4:33">
      <c r="E13" s="472"/>
      <c r="F13" s="475">
        <v>20</v>
      </c>
      <c r="G13" s="476">
        <v>130</v>
      </c>
      <c r="H13" s="472">
        <v>24.104566818747916</v>
      </c>
      <c r="I13" s="472">
        <v>25.12036041142705</v>
      </c>
      <c r="J13" s="476">
        <f t="shared" si="0"/>
        <v>1.0157935926791346</v>
      </c>
      <c r="K13" s="475">
        <f>J13/E12</f>
        <v>7.398351002761359</v>
      </c>
      <c r="M13" s="481"/>
      <c r="N13" s="486">
        <v>20</v>
      </c>
      <c r="O13" s="487">
        <v>130</v>
      </c>
      <c r="P13" s="483">
        <v>21.960568991933417</v>
      </c>
      <c r="Q13" s="483">
        <v>23.4140361198208</v>
      </c>
      <c r="R13" s="487">
        <f t="shared" si="9"/>
        <v>1.4534671278873823</v>
      </c>
      <c r="S13" s="486">
        <f>R13/M12</f>
        <v>10.051639888571108</v>
      </c>
      <c r="T13" s="498">
        <v>10.991145538430031</v>
      </c>
      <c r="U13" s="481">
        <f>0.13/20*12</f>
        <v>7.8000000000000014E-2</v>
      </c>
      <c r="V13" s="486">
        <v>20</v>
      </c>
      <c r="W13" s="487">
        <v>130</v>
      </c>
      <c r="X13" s="483">
        <v>22.529607120000001</v>
      </c>
      <c r="Y13" s="483">
        <v>24.081470020000001</v>
      </c>
      <c r="Z13" s="487">
        <f t="shared" si="10"/>
        <v>1.5518628999999997</v>
      </c>
      <c r="AA13" s="486">
        <f>Z13/U12</f>
        <v>13.577103237095361</v>
      </c>
    </row>
    <row r="14" spans="4:33">
      <c r="E14" s="472"/>
      <c r="F14" s="477">
        <v>30</v>
      </c>
      <c r="G14" s="478">
        <v>130</v>
      </c>
      <c r="H14" s="479">
        <v>24.395977669714554</v>
      </c>
      <c r="I14" s="479">
        <v>25.769327000935501</v>
      </c>
      <c r="J14" s="479">
        <f t="shared" si="0"/>
        <v>1.3733493312209468</v>
      </c>
      <c r="K14" s="490">
        <f>J14/E12</f>
        <v>10.00254429148541</v>
      </c>
      <c r="M14" s="481"/>
      <c r="N14" s="494">
        <v>30</v>
      </c>
      <c r="O14" s="495">
        <v>130</v>
      </c>
      <c r="P14" s="496">
        <v>22.190326284785652</v>
      </c>
      <c r="Q14" s="496">
        <v>23.927543367597099</v>
      </c>
      <c r="R14" s="497">
        <f t="shared" si="9"/>
        <v>1.7372170828114477</v>
      </c>
      <c r="S14" s="489">
        <f>R14/M12</f>
        <v>12.01394939703629</v>
      </c>
      <c r="T14" s="498">
        <v>13.04053313966819</v>
      </c>
      <c r="U14" s="481"/>
      <c r="V14" s="494">
        <v>30</v>
      </c>
      <c r="W14" s="495">
        <v>130</v>
      </c>
      <c r="X14" s="496">
        <v>22.87224071</v>
      </c>
      <c r="Y14" s="496">
        <v>24.878961589999999</v>
      </c>
      <c r="Z14" s="496">
        <f t="shared" si="10"/>
        <v>2.0067208799999996</v>
      </c>
      <c r="AA14" s="486">
        <f>Z14/U12</f>
        <v>17.556613123359575</v>
      </c>
    </row>
    <row r="15" spans="4:33">
      <c r="D15" s="471">
        <f>E15/20*4</f>
        <v>2.7360000000000002E-2</v>
      </c>
      <c r="E15" s="472">
        <f>0.1368</f>
        <v>0.1368</v>
      </c>
      <c r="F15" s="473">
        <v>20</v>
      </c>
      <c r="G15" s="474">
        <v>100</v>
      </c>
      <c r="H15" s="472">
        <v>24.435465749231913</v>
      </c>
      <c r="I15" s="472">
        <v>25.359337798317529</v>
      </c>
      <c r="J15" s="480">
        <f t="shared" si="0"/>
        <v>0.92387204908561671</v>
      </c>
      <c r="K15" s="473">
        <f>J15/E15</f>
        <v>6.753450651210648</v>
      </c>
      <c r="M15" s="481">
        <f>0.1317-0.0009</f>
        <v>0.1308</v>
      </c>
      <c r="N15" s="492">
        <v>20</v>
      </c>
      <c r="O15" s="493">
        <v>100</v>
      </c>
      <c r="P15" s="483">
        <v>22.19339965</v>
      </c>
      <c r="Q15" s="483">
        <v>23.484585339999999</v>
      </c>
      <c r="R15" s="487">
        <f t="shared" si="9"/>
        <v>1.2911856899999989</v>
      </c>
      <c r="S15" s="492">
        <f>R15/M15</f>
        <v>9.8714502293577908</v>
      </c>
      <c r="T15">
        <f>T12*0.13</f>
        <v>1.2043395143697111</v>
      </c>
      <c r="U15" s="481">
        <f>0.1292-0.0105</f>
        <v>0.11870000000000001</v>
      </c>
      <c r="V15" s="492">
        <v>20</v>
      </c>
      <c r="W15" s="493">
        <v>100</v>
      </c>
      <c r="X15" s="483">
        <v>22.531190370000001</v>
      </c>
      <c r="Y15" s="483">
        <v>23.945728209360102</v>
      </c>
      <c r="Z15" s="493">
        <f t="shared" ref="Z15:Z17" si="11">Y15-X15</f>
        <v>1.4145378393601007</v>
      </c>
      <c r="AA15" s="486">
        <f>Z15/U15</f>
        <v>11.916915243134799</v>
      </c>
    </row>
    <row r="16" spans="4:33">
      <c r="E16" s="472"/>
      <c r="F16" s="475">
        <v>20</v>
      </c>
      <c r="G16" s="476">
        <v>130</v>
      </c>
      <c r="H16" s="472">
        <v>24.429877813451153</v>
      </c>
      <c r="I16" s="472">
        <v>25.543646546819605</v>
      </c>
      <c r="J16" s="480">
        <f t="shared" si="0"/>
        <v>1.1137687333684525</v>
      </c>
      <c r="K16" s="475">
        <f>J16/E15</f>
        <v>8.1415843082489214</v>
      </c>
      <c r="M16" s="481"/>
      <c r="N16" s="486">
        <v>20</v>
      </c>
      <c r="O16" s="487">
        <v>130</v>
      </c>
      <c r="P16" s="483">
        <v>21.477074383322901</v>
      </c>
      <c r="Q16" s="483">
        <v>22.9822058667067</v>
      </c>
      <c r="R16" s="487">
        <f t="shared" si="9"/>
        <v>1.5051314833837992</v>
      </c>
      <c r="S16" s="486">
        <f>R16/M15</f>
        <v>11.507121432597854</v>
      </c>
      <c r="T16" s="502">
        <f t="shared" ref="T16:T17" si="12">T13*0.13</f>
        <v>1.428848919995904</v>
      </c>
      <c r="U16" s="481">
        <f>0.13/20*12</f>
        <v>7.8000000000000014E-2</v>
      </c>
      <c r="V16" s="486">
        <v>20</v>
      </c>
      <c r="W16" s="487">
        <v>130</v>
      </c>
      <c r="X16" s="483">
        <v>22.875220949999999</v>
      </c>
      <c r="Y16" s="483">
        <v>24.412927740000001</v>
      </c>
      <c r="Z16" s="487">
        <f t="shared" si="11"/>
        <v>1.5377067900000014</v>
      </c>
      <c r="AA16" s="486">
        <f>Z16/U15</f>
        <v>12.954564363942723</v>
      </c>
    </row>
    <row r="17" spans="4:27">
      <c r="E17" s="472"/>
      <c r="F17" s="477">
        <v>30</v>
      </c>
      <c r="G17" s="478">
        <v>130</v>
      </c>
      <c r="H17" s="479">
        <v>24.434068765286721</v>
      </c>
      <c r="I17" s="479">
        <v>25.944953468141158</v>
      </c>
      <c r="J17" s="478">
        <f t="shared" si="0"/>
        <v>1.5108847028544368</v>
      </c>
      <c r="K17" s="490">
        <f>J17/E15</f>
        <v>11.044478822035357</v>
      </c>
      <c r="M17" s="481"/>
      <c r="N17" s="494">
        <v>30</v>
      </c>
      <c r="O17" s="495">
        <v>130</v>
      </c>
      <c r="P17" s="496">
        <v>21.85495700567704</v>
      </c>
      <c r="Q17" s="496">
        <v>23.574178580890798</v>
      </c>
      <c r="R17" s="497">
        <f t="shared" si="9"/>
        <v>1.7192215752137585</v>
      </c>
      <c r="S17" s="489">
        <f>R17/M15</f>
        <v>13.143895834967573</v>
      </c>
      <c r="T17" s="502">
        <f t="shared" si="12"/>
        <v>1.6952693081568648</v>
      </c>
      <c r="U17" s="481"/>
      <c r="V17" s="494">
        <v>30</v>
      </c>
      <c r="W17" s="495">
        <v>130</v>
      </c>
      <c r="X17" s="496">
        <v>23.00365034</v>
      </c>
      <c r="Y17" s="496">
        <v>25.287577850000002</v>
      </c>
      <c r="Z17" s="496">
        <f t="shared" si="11"/>
        <v>2.2839275100000016</v>
      </c>
      <c r="AA17" s="486">
        <f>Z17/U15</f>
        <v>19.241175315922504</v>
      </c>
    </row>
    <row r="18" spans="4:27">
      <c r="E18" s="472">
        <f>0.1254-0.008</f>
        <v>0.1174</v>
      </c>
      <c r="F18" s="473">
        <v>20</v>
      </c>
      <c r="G18" s="474">
        <v>100</v>
      </c>
      <c r="H18" s="472">
        <v>25.109091407602509</v>
      </c>
      <c r="I18" s="472">
        <v>25.833332916100801</v>
      </c>
      <c r="J18" s="480">
        <f t="shared" si="0"/>
        <v>0.72424150849829161</v>
      </c>
      <c r="K18" s="473">
        <f>J18/E18</f>
        <v>6.1690077384862994</v>
      </c>
      <c r="P18" s="500"/>
      <c r="Q18" s="499"/>
    </row>
    <row r="19" spans="4:27">
      <c r="E19" s="472"/>
      <c r="F19" s="475">
        <v>20</v>
      </c>
      <c r="G19" s="476">
        <v>130</v>
      </c>
      <c r="H19" s="472">
        <v>25.015983195065498</v>
      </c>
      <c r="I19" s="472">
        <v>25.9336123128898</v>
      </c>
      <c r="J19" s="480">
        <f t="shared" si="0"/>
        <v>0.91762911782430123</v>
      </c>
      <c r="K19" s="475">
        <f>J19/E18</f>
        <v>7.8162616509736047</v>
      </c>
    </row>
    <row r="20" spans="4:27">
      <c r="E20" s="472"/>
      <c r="F20" s="477">
        <v>30</v>
      </c>
      <c r="G20" s="478">
        <v>130</v>
      </c>
      <c r="H20" s="479">
        <v>25.117007649958584</v>
      </c>
      <c r="I20" s="479">
        <v>26.387235515548898</v>
      </c>
      <c r="J20" s="478">
        <f t="shared" si="0"/>
        <v>1.2702278655903143</v>
      </c>
      <c r="K20" s="475">
        <f>J20/E18</f>
        <v>10.819658139610855</v>
      </c>
    </row>
    <row r="21" spans="4:27">
      <c r="E21" s="472">
        <f>0.1329-0.0065</f>
        <v>0.12639999999999998</v>
      </c>
      <c r="F21" s="473">
        <v>20</v>
      </c>
      <c r="G21" s="474">
        <v>100</v>
      </c>
      <c r="H21" s="472">
        <v>24.432764913604554</v>
      </c>
      <c r="I21" s="472">
        <v>25.202596199667202</v>
      </c>
      <c r="J21" s="480">
        <f t="shared" si="0"/>
        <v>0.76983128606264728</v>
      </c>
      <c r="K21" s="473">
        <f>J21/E21</f>
        <v>6.0904373897361346</v>
      </c>
    </row>
    <row r="22" spans="4:27">
      <c r="E22" s="472">
        <f>E21/20*4</f>
        <v>2.5279999999999997E-2</v>
      </c>
      <c r="F22" s="475">
        <v>20</v>
      </c>
      <c r="G22" s="476">
        <v>130</v>
      </c>
      <c r="H22" s="472">
        <v>24.439842965593527</v>
      </c>
      <c r="I22" s="472">
        <v>25.461690155368462</v>
      </c>
      <c r="J22" s="480">
        <f t="shared" si="0"/>
        <v>1.0218471897749346</v>
      </c>
      <c r="K22" s="475">
        <f>J22/E21</f>
        <v>8.0842340963206869</v>
      </c>
    </row>
    <row r="23" spans="4:27">
      <c r="E23" s="472"/>
      <c r="F23" s="477">
        <v>30</v>
      </c>
      <c r="G23" s="478">
        <v>130</v>
      </c>
      <c r="H23" s="479">
        <v>24.433975633023724</v>
      </c>
      <c r="I23" s="479">
        <v>25.630352683684379</v>
      </c>
      <c r="J23" s="478">
        <f t="shared" si="0"/>
        <v>1.1963770506606544</v>
      </c>
      <c r="K23" s="475">
        <f>J23/E21</f>
        <v>9.4650083121887221</v>
      </c>
    </row>
    <row r="26" spans="4:27">
      <c r="D26" s="407" t="s">
        <v>87</v>
      </c>
      <c r="E26" s="407" t="s">
        <v>88</v>
      </c>
      <c r="F26" s="407"/>
      <c r="G26" s="407"/>
      <c r="H26" s="407"/>
      <c r="I26" s="407"/>
      <c r="J26" s="407"/>
      <c r="K26" s="407"/>
    </row>
    <row r="27" spans="4:27">
      <c r="D27" s="407"/>
      <c r="E27" s="407" t="s">
        <v>89</v>
      </c>
      <c r="F27" s="407">
        <v>6</v>
      </c>
      <c r="G27" s="407"/>
      <c r="H27" s="407"/>
      <c r="I27" s="407"/>
      <c r="J27" s="407"/>
      <c r="K27" s="407"/>
    </row>
    <row r="28" spans="4:27" ht="16.5">
      <c r="D28" s="407"/>
      <c r="E28" s="407" t="s">
        <v>90</v>
      </c>
      <c r="F28" s="407">
        <v>3.14</v>
      </c>
      <c r="G28" s="407"/>
      <c r="H28" s="407"/>
      <c r="I28" s="407"/>
      <c r="J28" s="407"/>
      <c r="K28" s="407"/>
    </row>
    <row r="29" spans="4:27">
      <c r="D29" s="407"/>
      <c r="E29" s="407" t="s">
        <v>91</v>
      </c>
      <c r="F29" s="407"/>
      <c r="G29" s="407">
        <f>3.14*F38</f>
        <v>2.5570396138135526E-3</v>
      </c>
      <c r="H29" s="407" t="s">
        <v>92</v>
      </c>
      <c r="I29" s="407"/>
      <c r="J29" s="407"/>
      <c r="K29" s="407"/>
    </row>
    <row r="30" spans="4:27" ht="15.75">
      <c r="D30" s="407"/>
      <c r="E30" s="525" t="s">
        <v>93</v>
      </c>
      <c r="F30" s="526" t="s">
        <v>94</v>
      </c>
      <c r="G30" s="527">
        <f>1000*G29/0.135</f>
        <v>18.941034176396684</v>
      </c>
      <c r="H30" s="527" t="s">
        <v>106</v>
      </c>
      <c r="I30" s="527"/>
      <c r="J30" s="407"/>
      <c r="K30" s="407"/>
    </row>
    <row r="31" spans="4:27">
      <c r="D31" s="407" t="s">
        <v>95</v>
      </c>
      <c r="E31" s="528">
        <f>(F31)/35.643</f>
        <v>1.4083364193079989E-2</v>
      </c>
      <c r="F31" s="529">
        <v>0.50197334993395004</v>
      </c>
      <c r="G31" s="407"/>
      <c r="H31" s="407"/>
      <c r="I31" s="407"/>
      <c r="J31" s="407"/>
      <c r="K31" s="407"/>
    </row>
    <row r="32" spans="4:27">
      <c r="D32" s="407" t="s">
        <v>96</v>
      </c>
      <c r="E32" s="530">
        <f t="shared" ref="E32:E37" si="13">(F32)/35.643</f>
        <v>1.3991967567264259E-2</v>
      </c>
      <c r="F32" s="531">
        <v>0.49871569999999998</v>
      </c>
      <c r="G32" s="407"/>
      <c r="H32" s="407"/>
      <c r="I32" s="407"/>
      <c r="J32" s="407"/>
      <c r="K32" s="407"/>
    </row>
    <row r="33" spans="4:11">
      <c r="D33" s="407" t="s">
        <v>97</v>
      </c>
      <c r="E33" s="530">
        <f t="shared" si="13"/>
        <v>1.2028782650169739E-2</v>
      </c>
      <c r="F33" s="531">
        <v>0.42874190000000001</v>
      </c>
      <c r="G33" s="407" t="s">
        <v>109</v>
      </c>
      <c r="H33" s="407"/>
      <c r="I33" s="407"/>
      <c r="J33" s="407"/>
      <c r="K33" s="407"/>
    </row>
    <row r="34" spans="4:11">
      <c r="D34" s="407" t="s">
        <v>98</v>
      </c>
      <c r="E34" s="530">
        <f t="shared" si="13"/>
        <v>1.328512751451898E-2</v>
      </c>
      <c r="F34" s="531">
        <v>0.47352179999999999</v>
      </c>
      <c r="G34" s="407">
        <f>AVERAGE(F31:F37)</f>
        <v>0.48058662141913572</v>
      </c>
      <c r="H34" s="407">
        <f>G34/0.0315749</f>
        <v>15.220527109163788</v>
      </c>
      <c r="I34" s="407"/>
      <c r="J34" s="407"/>
      <c r="K34" s="407"/>
    </row>
    <row r="35" spans="4:11">
      <c r="D35" s="407" t="s">
        <v>99</v>
      </c>
      <c r="E35" s="530">
        <f t="shared" si="13"/>
        <v>1.314478859804169E-2</v>
      </c>
      <c r="F35" s="531">
        <v>0.46851969999999998</v>
      </c>
      <c r="G35" s="407"/>
      <c r="H35" s="407"/>
      <c r="I35" s="407"/>
      <c r="J35" s="407"/>
      <c r="K35" s="407"/>
    </row>
    <row r="36" spans="4:11">
      <c r="D36" s="407" t="s">
        <v>100</v>
      </c>
      <c r="E36" s="530">
        <f t="shared" si="13"/>
        <v>1.451670734786634E-2</v>
      </c>
      <c r="F36" s="531">
        <v>0.51741899999999996</v>
      </c>
      <c r="G36" s="407"/>
      <c r="H36" s="407"/>
      <c r="I36" s="407"/>
      <c r="J36" s="407"/>
      <c r="K36" s="407"/>
    </row>
    <row r="37" spans="4:11">
      <c r="D37" s="407" t="s">
        <v>101</v>
      </c>
      <c r="E37" s="532">
        <f t="shared" si="13"/>
        <v>1.3332629127738967E-2</v>
      </c>
      <c r="F37" s="533">
        <v>0.4752149</v>
      </c>
      <c r="G37" s="407"/>
      <c r="H37" s="407"/>
      <c r="I37" s="407"/>
      <c r="J37" s="407"/>
      <c r="K37" s="407"/>
    </row>
    <row r="38" spans="4:11">
      <c r="D38" s="407"/>
      <c r="E38" s="407" t="s">
        <v>102</v>
      </c>
      <c r="F38" s="407">
        <f>_xlfn.STDEV.S(E31:E37)</f>
        <v>8.1434382605527153E-4</v>
      </c>
      <c r="G38" s="407" t="s">
        <v>91</v>
      </c>
      <c r="H38" s="407"/>
      <c r="I38" s="407">
        <f>3.14*F47</f>
        <v>3.0764630460867973E-3</v>
      </c>
      <c r="J38" s="407"/>
      <c r="K38" s="407"/>
    </row>
    <row r="39" spans="4:11" ht="15.75">
      <c r="D39" s="407"/>
      <c r="E39" s="525" t="s">
        <v>103</v>
      </c>
      <c r="F39" s="526" t="s">
        <v>94</v>
      </c>
      <c r="G39" s="527" t="s">
        <v>103</v>
      </c>
      <c r="H39" s="527"/>
      <c r="I39" s="527">
        <f>1000*I38/0.1</f>
        <v>30.764630460867973</v>
      </c>
      <c r="J39" s="527" t="s">
        <v>107</v>
      </c>
      <c r="K39" s="527"/>
    </row>
    <row r="40" spans="4:11">
      <c r="D40" s="407" t="s">
        <v>95</v>
      </c>
      <c r="E40" s="528">
        <f>(F40)/26.15</f>
        <v>2.4339789003575526E-2</v>
      </c>
      <c r="F40" s="529">
        <v>0.63648548244350001</v>
      </c>
      <c r="G40" s="407"/>
      <c r="H40" s="407"/>
      <c r="I40" s="407"/>
      <c r="J40" s="407"/>
      <c r="K40" s="407"/>
    </row>
    <row r="41" spans="4:11">
      <c r="D41" s="407" t="s">
        <v>96</v>
      </c>
      <c r="E41" s="530">
        <f t="shared" ref="E41:E46" si="14">(F41)/26.15</f>
        <v>2.2453112810707457E-2</v>
      </c>
      <c r="F41" s="531">
        <v>0.58714889999999997</v>
      </c>
      <c r="G41" s="407"/>
      <c r="H41" s="407"/>
      <c r="I41" s="407"/>
      <c r="J41" s="407"/>
      <c r="K41" s="407"/>
    </row>
    <row r="42" spans="4:11">
      <c r="D42" s="407" t="s">
        <v>97</v>
      </c>
      <c r="E42" s="530">
        <f t="shared" si="14"/>
        <v>2.4316405353728494E-2</v>
      </c>
      <c r="F42" s="531">
        <v>0.63587400000000005</v>
      </c>
      <c r="G42" s="407" t="s">
        <v>109</v>
      </c>
      <c r="H42" s="407"/>
      <c r="I42" s="407"/>
      <c r="J42" s="407"/>
      <c r="K42" s="407"/>
    </row>
    <row r="43" spans="4:11">
      <c r="D43" s="407" t="s">
        <v>98</v>
      </c>
      <c r="E43" s="530">
        <f t="shared" si="14"/>
        <v>2.4963063097514341E-2</v>
      </c>
      <c r="F43" s="531">
        <v>0.65278409999999998</v>
      </c>
      <c r="G43" s="407">
        <f>AVERAGE(F40:F46)</f>
        <v>0.61898191320621432</v>
      </c>
      <c r="H43" s="407">
        <f>G43/0.0315749</f>
        <v>19.603606447089753</v>
      </c>
      <c r="I43" s="407"/>
      <c r="J43" s="407"/>
      <c r="K43" s="407"/>
    </row>
    <row r="44" spans="4:11">
      <c r="D44" s="407" t="s">
        <v>99</v>
      </c>
      <c r="E44" s="530">
        <f t="shared" si="14"/>
        <v>2.264258126195029E-2</v>
      </c>
      <c r="F44" s="531">
        <v>0.5921035</v>
      </c>
      <c r="G44" s="407"/>
      <c r="H44" s="407"/>
      <c r="I44" s="407"/>
      <c r="J44" s="407"/>
      <c r="K44" s="407"/>
    </row>
    <row r="45" spans="4:11">
      <c r="D45" s="407" t="s">
        <v>100</v>
      </c>
      <c r="E45" s="530">
        <f t="shared" si="14"/>
        <v>2.293259694072658E-2</v>
      </c>
      <c r="F45" s="531">
        <v>0.59968741000000003</v>
      </c>
      <c r="G45" s="407"/>
      <c r="H45" s="407"/>
      <c r="I45" s="407"/>
      <c r="J45" s="407"/>
      <c r="K45" s="407"/>
    </row>
    <row r="46" spans="4:11">
      <c r="D46" s="407" t="s">
        <v>101</v>
      </c>
      <c r="E46" s="532">
        <f t="shared" si="14"/>
        <v>2.4045506692160611E-2</v>
      </c>
      <c r="F46" s="533">
        <v>0.62878999999999996</v>
      </c>
      <c r="G46" s="407"/>
      <c r="H46" s="407"/>
      <c r="I46" s="407"/>
      <c r="J46" s="407"/>
      <c r="K46" s="407"/>
    </row>
    <row r="47" spans="4:11">
      <c r="D47" s="407"/>
      <c r="E47" s="407" t="s">
        <v>102</v>
      </c>
      <c r="F47" s="407">
        <f>_xlfn.STDEV.S(E40:E46)</f>
        <v>9.7976530130152784E-4</v>
      </c>
      <c r="G47" s="407" t="s">
        <v>91</v>
      </c>
      <c r="H47" s="407"/>
      <c r="I47" s="407">
        <f>3.14*F56</f>
        <v>4.1555316236770237E-3</v>
      </c>
      <c r="J47" s="407"/>
      <c r="K47" s="407"/>
    </row>
    <row r="48" spans="4:11" ht="15.75">
      <c r="D48" s="407"/>
      <c r="E48" s="525" t="s">
        <v>104</v>
      </c>
      <c r="F48" s="526" t="s">
        <v>94</v>
      </c>
      <c r="G48" s="527" t="s">
        <v>105</v>
      </c>
      <c r="H48" s="527"/>
      <c r="I48" s="527">
        <f>1000*I47/0.1</f>
        <v>41.555316236770231</v>
      </c>
      <c r="J48" s="527" t="s">
        <v>108</v>
      </c>
      <c r="K48" s="527"/>
    </row>
    <row r="49" spans="4:11">
      <c r="D49" s="407" t="s">
        <v>95</v>
      </c>
      <c r="E49" s="528">
        <f>(F49)/15.982</f>
        <v>4.4066056188211737E-2</v>
      </c>
      <c r="F49" s="529">
        <v>0.70426370999999999</v>
      </c>
      <c r="G49" s="407"/>
      <c r="H49" s="407"/>
      <c r="I49" s="407"/>
      <c r="J49" s="407"/>
      <c r="K49" s="407"/>
    </row>
    <row r="50" spans="4:11">
      <c r="D50" s="407" t="s">
        <v>96</v>
      </c>
      <c r="E50" s="530">
        <f t="shared" ref="E50:E55" si="15">(F50)/15.982</f>
        <v>4.5498560880991114E-2</v>
      </c>
      <c r="F50" s="531">
        <v>0.72715799999999997</v>
      </c>
      <c r="G50" s="407"/>
      <c r="H50" s="407"/>
      <c r="I50" s="407"/>
      <c r="J50" s="407"/>
      <c r="K50" s="407"/>
    </row>
    <row r="51" spans="4:11">
      <c r="D51" s="407" t="s">
        <v>97</v>
      </c>
      <c r="E51" s="530">
        <f t="shared" si="15"/>
        <v>4.3398035289700911E-2</v>
      </c>
      <c r="F51" s="531">
        <v>0.69358739999999997</v>
      </c>
      <c r="G51" s="407" t="s">
        <v>109</v>
      </c>
      <c r="H51" s="407"/>
      <c r="I51" s="407"/>
      <c r="J51" s="407"/>
      <c r="K51" s="407"/>
    </row>
    <row r="52" spans="4:11">
      <c r="D52" s="407" t="s">
        <v>98</v>
      </c>
      <c r="E52" s="530">
        <f t="shared" si="15"/>
        <v>4.4586661869603306E-2</v>
      </c>
      <c r="F52" s="531">
        <v>0.71258403000000003</v>
      </c>
      <c r="G52" s="407">
        <f>AVERAGE(F49:F55)</f>
        <v>0.71304692571428574</v>
      </c>
      <c r="H52" s="407">
        <f>G52/0.0315749</f>
        <v>22.582713665420499</v>
      </c>
      <c r="I52" s="407"/>
      <c r="J52" s="407"/>
      <c r="K52" s="407"/>
    </row>
    <row r="53" spans="4:11">
      <c r="D53" s="407" t="s">
        <v>99</v>
      </c>
      <c r="E53" s="530">
        <f t="shared" si="15"/>
        <v>4.2717995244650232E-2</v>
      </c>
      <c r="F53" s="531">
        <v>0.68271899999999996</v>
      </c>
      <c r="G53" s="407"/>
      <c r="H53" s="407"/>
      <c r="I53" s="407"/>
      <c r="J53" s="407"/>
      <c r="K53" s="407"/>
    </row>
    <row r="54" spans="4:11">
      <c r="D54" s="407" t="s">
        <v>100</v>
      </c>
      <c r="E54" s="530">
        <f t="shared" si="15"/>
        <v>4.6463918157927671E-2</v>
      </c>
      <c r="F54" s="531">
        <v>0.74258634000000001</v>
      </c>
      <c r="G54" s="407"/>
      <c r="H54" s="407"/>
      <c r="I54" s="407"/>
      <c r="J54" s="407"/>
      <c r="K54" s="407"/>
    </row>
    <row r="55" spans="4:11">
      <c r="D55" s="407" t="s">
        <v>101</v>
      </c>
      <c r="E55" s="532">
        <f t="shared" si="15"/>
        <v>4.5578150419221627E-2</v>
      </c>
      <c r="F55" s="533">
        <v>0.72843000000000002</v>
      </c>
      <c r="G55" s="407"/>
      <c r="H55" s="407"/>
      <c r="I55" s="407"/>
      <c r="J55" s="407"/>
      <c r="K55" s="407"/>
    </row>
    <row r="56" spans="4:11">
      <c r="D56" s="407"/>
      <c r="E56" s="407" t="s">
        <v>102</v>
      </c>
      <c r="F56" s="407">
        <f>_xlfn.STDEV.S(E49:E55)</f>
        <v>1.3234177145468229E-3</v>
      </c>
      <c r="G56" s="407"/>
      <c r="H56" s="407"/>
      <c r="I56" s="407"/>
      <c r="J56" s="407"/>
      <c r="K56" s="407"/>
    </row>
  </sheetData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F47"/>
  <sheetViews>
    <sheetView topLeftCell="K1" workbookViewId="0">
      <selection activeCell="S22" sqref="S22"/>
    </sheetView>
  </sheetViews>
  <sheetFormatPr defaultRowHeight="15"/>
  <cols>
    <col min="8" max="8" width="11.7109375" style="51" customWidth="1"/>
    <col min="9" max="11" width="9.140625" style="51"/>
  </cols>
  <sheetData>
    <row r="2" spans="4:26">
      <c r="D2" s="21">
        <v>42135</v>
      </c>
      <c r="T2" s="21">
        <v>42296</v>
      </c>
      <c r="U2" t="s">
        <v>77</v>
      </c>
    </row>
    <row r="3" spans="4:26" ht="18">
      <c r="T3" s="467"/>
      <c r="U3" s="467" t="s">
        <v>2</v>
      </c>
      <c r="V3" s="467" t="s">
        <v>3</v>
      </c>
      <c r="W3" s="467" t="s">
        <v>4</v>
      </c>
      <c r="X3" s="467" t="s">
        <v>5</v>
      </c>
      <c r="Y3" s="2" t="s">
        <v>6</v>
      </c>
    </row>
    <row r="4" spans="4:26">
      <c r="D4" s="20" t="s">
        <v>0</v>
      </c>
      <c r="E4" s="20"/>
      <c r="F4" s="1" t="s">
        <v>12</v>
      </c>
      <c r="G4" s="20"/>
      <c r="I4" s="51">
        <f>F5/20*40</f>
        <v>0.26</v>
      </c>
      <c r="L4" s="20"/>
      <c r="M4" s="20"/>
      <c r="N4" s="31">
        <f>M8/20*40</f>
        <v>0.12759999999999999</v>
      </c>
      <c r="O4" s="20"/>
      <c r="P4" s="20"/>
      <c r="Q4" s="20"/>
      <c r="R4" s="20"/>
      <c r="T4" s="469">
        <f>0.1728-0.0548</f>
        <v>0.11800000000000001</v>
      </c>
      <c r="U4" s="467">
        <v>20</v>
      </c>
      <c r="V4" s="467">
        <v>100</v>
      </c>
      <c r="W4" s="469">
        <v>21.355768075929166</v>
      </c>
      <c r="X4" s="468">
        <v>29.366074017648337</v>
      </c>
      <c r="Y4" s="467">
        <f>X4-W4</f>
        <v>8.0103059417191709</v>
      </c>
      <c r="Z4">
        <f>Y4/T4</f>
        <v>67.883948658637038</v>
      </c>
    </row>
    <row r="5" spans="4:26" ht="18">
      <c r="D5" s="20"/>
      <c r="E5" s="20"/>
      <c r="F5" s="20">
        <f>0.1506-0.0206</f>
        <v>0.13</v>
      </c>
      <c r="G5" s="20" t="s">
        <v>2</v>
      </c>
      <c r="H5" s="51" t="s">
        <v>3</v>
      </c>
      <c r="I5" s="51" t="s">
        <v>4</v>
      </c>
      <c r="J5" s="51" t="s">
        <v>5</v>
      </c>
      <c r="K5" s="52" t="s">
        <v>6</v>
      </c>
      <c r="L5" s="20"/>
      <c r="M5" s="20">
        <f>0.1364</f>
        <v>0.13639999999999999</v>
      </c>
      <c r="N5" s="20" t="s">
        <v>2</v>
      </c>
      <c r="O5" s="20" t="s">
        <v>3</v>
      </c>
      <c r="P5" s="20" t="s">
        <v>4</v>
      </c>
      <c r="Q5" s="20" t="s">
        <v>5</v>
      </c>
      <c r="R5" s="2" t="s">
        <v>6</v>
      </c>
      <c r="T5" s="469">
        <f>0.1515-0.0354</f>
        <v>0.11609999999999999</v>
      </c>
      <c r="U5" s="469">
        <v>20</v>
      </c>
      <c r="V5" s="469">
        <v>100</v>
      </c>
      <c r="W5" s="469"/>
      <c r="X5" s="469"/>
      <c r="Y5" s="469">
        <v>9.5408415520692849</v>
      </c>
    </row>
    <row r="6" spans="4:26">
      <c r="D6" s="20"/>
      <c r="E6" s="20"/>
      <c r="F6" s="20"/>
      <c r="G6" s="20">
        <v>20</v>
      </c>
      <c r="H6" s="51">
        <v>100</v>
      </c>
      <c r="I6" s="51">
        <v>25.101175165246431</v>
      </c>
      <c r="J6" s="51">
        <v>34.046994688927803</v>
      </c>
      <c r="K6" s="51">
        <f>J6-I6</f>
        <v>8.9458195236813722</v>
      </c>
      <c r="L6" s="20">
        <f>K6/F5</f>
        <v>68.813996336010547</v>
      </c>
      <c r="M6" s="20"/>
      <c r="N6" s="20">
        <v>20</v>
      </c>
      <c r="O6" s="20">
        <v>100</v>
      </c>
      <c r="P6" s="31">
        <v>25.469233868672472</v>
      </c>
      <c r="Q6" s="30">
        <v>35.010075420741757</v>
      </c>
      <c r="R6" s="20">
        <f>Q6-P6</f>
        <v>9.5408415520692849</v>
      </c>
      <c r="S6">
        <f>R6/M5</f>
        <v>69.947518710185378</v>
      </c>
      <c r="Y6">
        <v>8.9458195236813722</v>
      </c>
      <c r="Z6">
        <f>_xlfn.STDEV.S(Y4:Y6)</f>
        <v>0.77155428960555661</v>
      </c>
    </row>
    <row r="7" spans="4:26">
      <c r="D7" s="20" t="s">
        <v>7</v>
      </c>
      <c r="E7" s="20"/>
      <c r="F7" s="1" t="s">
        <v>13</v>
      </c>
      <c r="G7" s="20"/>
      <c r="L7" s="20"/>
      <c r="M7" s="20"/>
      <c r="N7" s="20"/>
      <c r="O7" s="20"/>
      <c r="P7" s="20"/>
      <c r="Q7" s="20"/>
      <c r="R7" s="20"/>
    </row>
    <row r="8" spans="4:26" ht="18">
      <c r="D8" s="20"/>
      <c r="E8" s="20"/>
      <c r="F8" s="20">
        <f>0.0648-0.003</f>
        <v>6.1799999999999994E-2</v>
      </c>
      <c r="G8" s="20" t="s">
        <v>2</v>
      </c>
      <c r="H8" s="51" t="s">
        <v>3</v>
      </c>
      <c r="I8" s="51" t="s">
        <v>4</v>
      </c>
      <c r="J8" s="51" t="s">
        <v>5</v>
      </c>
      <c r="K8" s="52" t="s">
        <v>6</v>
      </c>
      <c r="L8" s="20"/>
      <c r="M8" s="20">
        <f>0.0703-0.0065</f>
        <v>6.3799999999999996E-2</v>
      </c>
      <c r="N8" s="20" t="s">
        <v>2</v>
      </c>
      <c r="O8" s="20" t="s">
        <v>3</v>
      </c>
      <c r="P8" s="20" t="s">
        <v>4</v>
      </c>
      <c r="Q8" s="20" t="s">
        <v>5</v>
      </c>
      <c r="R8" s="2" t="s">
        <v>6</v>
      </c>
      <c r="T8" s="33">
        <f>0.0653-0.002</f>
        <v>6.3299999999999995E-2</v>
      </c>
      <c r="U8" s="33" t="s">
        <v>2</v>
      </c>
      <c r="V8" s="33" t="s">
        <v>3</v>
      </c>
      <c r="W8" s="33" t="s">
        <v>4</v>
      </c>
      <c r="X8" s="33" t="s">
        <v>5</v>
      </c>
      <c r="Y8" s="2" t="s">
        <v>6</v>
      </c>
    </row>
    <row r="9" spans="4:26">
      <c r="D9" s="20"/>
      <c r="E9" s="20"/>
      <c r="F9" s="20"/>
      <c r="G9" s="20">
        <v>20</v>
      </c>
      <c r="H9" s="51">
        <v>100</v>
      </c>
      <c r="I9" s="51">
        <v>24.778006212592491</v>
      </c>
      <c r="J9" s="51">
        <v>25.639293380933605</v>
      </c>
      <c r="K9" s="51">
        <f>J9-I9</f>
        <v>0.8612871683411143</v>
      </c>
      <c r="L9" s="20"/>
      <c r="M9" s="20"/>
      <c r="N9" s="20">
        <v>20</v>
      </c>
      <c r="O9" s="20">
        <v>100</v>
      </c>
      <c r="P9" s="33">
        <v>25.458803055215057</v>
      </c>
      <c r="Q9" s="32">
        <v>26.663003215968789</v>
      </c>
      <c r="R9" s="20">
        <f>Q9-P9</f>
        <v>1.2042001607537323</v>
      </c>
      <c r="T9" s="33"/>
      <c r="U9" s="33">
        <v>20</v>
      </c>
      <c r="V9" s="33">
        <v>100</v>
      </c>
      <c r="W9" s="35">
        <v>25.504624128617284</v>
      </c>
      <c r="X9" s="34">
        <v>27.847086807911804</v>
      </c>
      <c r="Y9" s="33">
        <f>X9-W9</f>
        <v>2.3424626792945205</v>
      </c>
    </row>
    <row r="10" spans="4:26">
      <c r="D10" s="20" t="s">
        <v>7</v>
      </c>
      <c r="E10" s="20"/>
      <c r="F10" s="1" t="s">
        <v>14</v>
      </c>
      <c r="G10" s="20"/>
      <c r="L10" s="20"/>
      <c r="M10" s="20"/>
      <c r="N10" s="20"/>
      <c r="O10" s="20"/>
      <c r="P10" s="20"/>
      <c r="Q10" s="20"/>
      <c r="R10" s="20"/>
    </row>
    <row r="11" spans="4:26" ht="18">
      <c r="D11" s="20"/>
      <c r="E11" s="20"/>
      <c r="F11" s="20">
        <f>0.0527-0.002</f>
        <v>5.0699999999999995E-2</v>
      </c>
      <c r="G11" s="20" t="s">
        <v>2</v>
      </c>
      <c r="H11" s="51" t="s">
        <v>3</v>
      </c>
      <c r="I11" s="51" t="s">
        <v>4</v>
      </c>
      <c r="J11" s="51" t="s">
        <v>5</v>
      </c>
      <c r="K11" s="52" t="s">
        <v>6</v>
      </c>
      <c r="L11" s="20"/>
      <c r="M11" s="20">
        <f>0.0552</f>
        <v>5.5199999999999999E-2</v>
      </c>
      <c r="N11" s="20" t="s">
        <v>2</v>
      </c>
      <c r="O11" s="20" t="s">
        <v>3</v>
      </c>
      <c r="P11" s="20" t="s">
        <v>4</v>
      </c>
      <c r="Q11" s="20" t="s">
        <v>5</v>
      </c>
      <c r="R11" s="2" t="s">
        <v>6</v>
      </c>
    </row>
    <row r="12" spans="4:26">
      <c r="D12" s="20"/>
      <c r="E12" s="20"/>
      <c r="F12" s="20"/>
      <c r="G12" s="20">
        <v>20</v>
      </c>
      <c r="H12" s="51">
        <v>100</v>
      </c>
      <c r="I12" s="51">
        <v>25.243574395392809</v>
      </c>
      <c r="J12" s="51">
        <v>26.322325397868489</v>
      </c>
      <c r="K12" s="51">
        <f>J12-I12</f>
        <v>1.0787510024756806</v>
      </c>
      <c r="L12" s="20"/>
      <c r="M12" s="20"/>
      <c r="N12" s="20">
        <v>20</v>
      </c>
      <c r="O12" s="20">
        <v>100</v>
      </c>
      <c r="P12" s="37">
        <v>25.969819782365562</v>
      </c>
      <c r="Q12" s="36">
        <v>27.32852636745729</v>
      </c>
      <c r="R12" s="20">
        <f>Q12-P12</f>
        <v>1.3587065850917277</v>
      </c>
    </row>
    <row r="13" spans="4:26">
      <c r="D13" s="20" t="s">
        <v>7</v>
      </c>
      <c r="E13" s="20"/>
      <c r="F13" s="1" t="s">
        <v>15</v>
      </c>
      <c r="G13" s="20"/>
      <c r="L13" s="20"/>
      <c r="M13" s="20"/>
      <c r="N13" s="20"/>
      <c r="O13" s="20"/>
      <c r="P13" s="20"/>
      <c r="Q13" s="20"/>
      <c r="R13" s="20"/>
    </row>
    <row r="14" spans="4:26" ht="18">
      <c r="D14" s="20"/>
      <c r="E14" s="20"/>
      <c r="F14" s="20">
        <f>0.0627-0.0129</f>
        <v>4.9800000000000004E-2</v>
      </c>
      <c r="G14" s="20" t="s">
        <v>2</v>
      </c>
      <c r="H14" s="51" t="s">
        <v>3</v>
      </c>
      <c r="I14" s="51" t="s">
        <v>4</v>
      </c>
      <c r="J14" s="51" t="s">
        <v>5</v>
      </c>
      <c r="K14" s="52" t="s">
        <v>6</v>
      </c>
      <c r="L14" s="20"/>
      <c r="M14" s="20">
        <f>0.0433-0.0012</f>
        <v>4.2099999999999999E-2</v>
      </c>
      <c r="N14" s="20" t="s">
        <v>2</v>
      </c>
      <c r="O14" s="20" t="s">
        <v>3</v>
      </c>
      <c r="P14" s="20" t="s">
        <v>4</v>
      </c>
      <c r="Q14" s="20" t="s">
        <v>5</v>
      </c>
      <c r="R14" s="2" t="s">
        <v>6</v>
      </c>
    </row>
    <row r="15" spans="4:26">
      <c r="D15" s="20"/>
      <c r="E15" s="20"/>
      <c r="F15" s="20"/>
      <c r="G15" s="20">
        <v>20</v>
      </c>
      <c r="H15" s="51">
        <v>100</v>
      </c>
      <c r="I15" s="51">
        <v>25.455729690535634</v>
      </c>
      <c r="J15" s="51">
        <v>26.333873798482049</v>
      </c>
      <c r="K15" s="51">
        <f>J15-I15</f>
        <v>0.87814410794641518</v>
      </c>
      <c r="L15" s="20"/>
      <c r="M15" s="20"/>
      <c r="N15" s="20">
        <v>20</v>
      </c>
      <c r="O15" s="20">
        <v>100</v>
      </c>
      <c r="P15" s="39">
        <v>25.968329666157349</v>
      </c>
      <c r="Q15" s="38">
        <v>27.327129383512101</v>
      </c>
      <c r="R15" s="20">
        <f>Q15-P15</f>
        <v>1.3587997173547528</v>
      </c>
    </row>
    <row r="17" spans="4:32">
      <c r="D17" s="21">
        <v>42137</v>
      </c>
      <c r="F17" t="s">
        <v>18</v>
      </c>
      <c r="I17" s="51">
        <v>24.089479392139868</v>
      </c>
      <c r="J17" s="51">
        <v>24.180097084051194</v>
      </c>
      <c r="K17" s="51">
        <f>J17-I17</f>
        <v>9.0617691911326403E-2</v>
      </c>
    </row>
    <row r="18" spans="4:32">
      <c r="E18" s="39"/>
      <c r="F18" s="1" t="s">
        <v>12</v>
      </c>
      <c r="G18" s="39"/>
      <c r="I18" s="51">
        <f>M22/20*40</f>
        <v>0.10780000000000001</v>
      </c>
      <c r="L18" s="39"/>
      <c r="M18" s="39"/>
      <c r="N18" s="39">
        <f>F8/20*40</f>
        <v>0.12359999999999999</v>
      </c>
      <c r="O18" s="39"/>
      <c r="P18" s="39"/>
      <c r="Q18" s="39"/>
      <c r="R18" s="39"/>
    </row>
    <row r="19" spans="4:32" ht="18">
      <c r="E19" s="39"/>
      <c r="F19" s="39">
        <f>0.1407-0.0097</f>
        <v>0.13100000000000001</v>
      </c>
      <c r="G19" s="39" t="s">
        <v>2</v>
      </c>
      <c r="H19" s="51" t="s">
        <v>3</v>
      </c>
      <c r="I19" s="51" t="s">
        <v>4</v>
      </c>
      <c r="J19" s="51" t="s">
        <v>5</v>
      </c>
      <c r="K19" s="52" t="s">
        <v>6</v>
      </c>
      <c r="L19" s="42"/>
      <c r="M19" s="39">
        <f>0.1266-0.004</f>
        <v>0.12259999999999999</v>
      </c>
      <c r="N19" s="39" t="s">
        <v>2</v>
      </c>
      <c r="O19" s="39" t="s">
        <v>3</v>
      </c>
      <c r="P19" s="39" t="s">
        <v>4</v>
      </c>
      <c r="Q19" s="39" t="s">
        <v>5</v>
      </c>
      <c r="R19" s="2" t="s">
        <v>6</v>
      </c>
    </row>
    <row r="20" spans="4:32">
      <c r="E20" s="39"/>
      <c r="F20" s="39"/>
      <c r="G20" s="39">
        <v>20</v>
      </c>
      <c r="H20" s="51">
        <v>100</v>
      </c>
      <c r="I20" s="51">
        <v>24.435838278283978</v>
      </c>
      <c r="J20" s="51">
        <v>32.968336818715144</v>
      </c>
      <c r="K20" s="51">
        <f>J20-I20</f>
        <v>8.5324985404311668</v>
      </c>
      <c r="L20" s="39"/>
      <c r="M20" s="39"/>
      <c r="N20" s="39">
        <v>20</v>
      </c>
      <c r="O20" s="39">
        <v>100</v>
      </c>
      <c r="P20" s="42">
        <v>24.434068765286721</v>
      </c>
      <c r="Q20" s="41">
        <v>32.437203522753919</v>
      </c>
      <c r="R20" s="39">
        <f>Q20-P20</f>
        <v>8.0031347574671976</v>
      </c>
    </row>
    <row r="21" spans="4:32">
      <c r="E21" s="39"/>
      <c r="F21" s="1" t="s">
        <v>13</v>
      </c>
      <c r="G21" s="39"/>
      <c r="L21" s="39"/>
      <c r="M21" s="39"/>
      <c r="N21" s="39"/>
      <c r="O21" s="39"/>
      <c r="P21" s="39"/>
      <c r="Q21" s="39"/>
      <c r="R21" s="39"/>
      <c r="T21">
        <f>T22*2</f>
        <v>0.11480000000000001</v>
      </c>
      <c r="AA21" s="322">
        <v>42226</v>
      </c>
    </row>
    <row r="22" spans="4:32" ht="18">
      <c r="E22" s="39"/>
      <c r="F22" s="39">
        <f>0.0608-0.0044</f>
        <v>5.6399999999999999E-2</v>
      </c>
      <c r="G22" s="39" t="s">
        <v>2</v>
      </c>
      <c r="H22" s="51" t="s">
        <v>3</v>
      </c>
      <c r="I22" s="51" t="s">
        <v>4</v>
      </c>
      <c r="J22" s="51" t="s">
        <v>5</v>
      </c>
      <c r="K22" s="52" t="s">
        <v>6</v>
      </c>
      <c r="L22" s="39"/>
      <c r="M22" s="39">
        <f>0.0632-0.0093</f>
        <v>5.3900000000000003E-2</v>
      </c>
      <c r="N22" s="39" t="s">
        <v>2</v>
      </c>
      <c r="O22" s="39" t="s">
        <v>3</v>
      </c>
      <c r="P22" s="39" t="s">
        <v>4</v>
      </c>
      <c r="Q22" s="39" t="s">
        <v>5</v>
      </c>
      <c r="R22" s="2" t="s">
        <v>6</v>
      </c>
      <c r="T22" s="44">
        <f>0.0665-0.0091</f>
        <v>5.7400000000000007E-2</v>
      </c>
      <c r="U22" s="44" t="s">
        <v>2</v>
      </c>
      <c r="V22" s="44" t="s">
        <v>3</v>
      </c>
      <c r="W22" s="44" t="s">
        <v>4</v>
      </c>
      <c r="X22" s="44" t="s">
        <v>5</v>
      </c>
      <c r="Y22" s="2" t="s">
        <v>6</v>
      </c>
      <c r="AA22" s="358">
        <f>0.0806-0.0206</f>
        <v>6.0000000000000005E-2</v>
      </c>
      <c r="AB22" s="358" t="s">
        <v>2</v>
      </c>
      <c r="AC22" s="358" t="s">
        <v>3</v>
      </c>
      <c r="AD22" s="358" t="s">
        <v>59</v>
      </c>
      <c r="AE22" s="358" t="s">
        <v>5</v>
      </c>
      <c r="AF22" s="359" t="s">
        <v>6</v>
      </c>
    </row>
    <row r="23" spans="4:32">
      <c r="E23" s="39"/>
      <c r="F23" s="39"/>
      <c r="G23" s="39">
        <v>20</v>
      </c>
      <c r="H23" s="51">
        <v>100</v>
      </c>
      <c r="I23" s="51">
        <v>25.6160492072135</v>
      </c>
      <c r="J23" s="51">
        <v>26.305375326000163</v>
      </c>
      <c r="K23" s="51">
        <f>J23-I23</f>
        <v>0.6893261187866635</v>
      </c>
      <c r="L23" s="39"/>
      <c r="M23" s="39"/>
      <c r="N23" s="39">
        <v>20</v>
      </c>
      <c r="O23" s="39">
        <v>100</v>
      </c>
      <c r="P23" s="44">
        <v>24.773908393019944</v>
      </c>
      <c r="Q23" s="43">
        <v>25.456102219587702</v>
      </c>
      <c r="R23" s="39">
        <f>Q23-P23</f>
        <v>0.68219382656775807</v>
      </c>
      <c r="T23" s="44"/>
      <c r="U23" s="44">
        <v>20</v>
      </c>
      <c r="V23" s="44">
        <v>100</v>
      </c>
      <c r="W23" s="46">
        <v>25.112351036807951</v>
      </c>
      <c r="X23" s="45">
        <v>25.966187624108052</v>
      </c>
      <c r="Y23" s="44">
        <f>X23-W23</f>
        <v>0.85383658730010126</v>
      </c>
      <c r="AA23" s="358"/>
      <c r="AB23" s="358">
        <v>20</v>
      </c>
      <c r="AC23" s="358">
        <v>100</v>
      </c>
      <c r="AD23" s="358">
        <v>26.121066577498116</v>
      </c>
      <c r="AE23" s="358">
        <v>26.649219641042937</v>
      </c>
      <c r="AF23" s="358">
        <f>AE23-AD23</f>
        <v>0.52815306354482061</v>
      </c>
    </row>
    <row r="24" spans="4:32" ht="18">
      <c r="E24" s="39"/>
      <c r="F24" s="1" t="s">
        <v>14</v>
      </c>
      <c r="G24" s="39"/>
      <c r="L24" s="39"/>
      <c r="M24" s="39"/>
      <c r="N24" s="39"/>
      <c r="O24" s="39"/>
      <c r="P24" s="39"/>
      <c r="Q24" s="39"/>
      <c r="R24" s="39"/>
      <c r="AA24" s="358">
        <f>0.1097-0.0474</f>
        <v>6.2300000000000008E-2</v>
      </c>
      <c r="AB24" s="358" t="s">
        <v>2</v>
      </c>
      <c r="AC24" s="358" t="s">
        <v>3</v>
      </c>
      <c r="AD24" s="358" t="s">
        <v>59</v>
      </c>
      <c r="AE24" s="358" t="s">
        <v>5</v>
      </c>
      <c r="AF24" s="359" t="s">
        <v>6</v>
      </c>
    </row>
    <row r="25" spans="4:32" ht="18">
      <c r="E25" s="39"/>
      <c r="F25" s="39">
        <f>0.0559-0.0092</f>
        <v>4.6699999999999998E-2</v>
      </c>
      <c r="G25" s="39" t="s">
        <v>2</v>
      </c>
      <c r="H25" s="51" t="s">
        <v>3</v>
      </c>
      <c r="I25" s="51" t="s">
        <v>4</v>
      </c>
      <c r="J25" s="51" t="s">
        <v>5</v>
      </c>
      <c r="K25" s="52" t="s">
        <v>6</v>
      </c>
      <c r="L25" s="39"/>
      <c r="M25" s="39">
        <f>0.0558-0.0021</f>
        <v>5.3700000000000005E-2</v>
      </c>
      <c r="N25" s="39" t="s">
        <v>2</v>
      </c>
      <c r="O25" s="39" t="s">
        <v>3</v>
      </c>
      <c r="P25" s="39" t="s">
        <v>4</v>
      </c>
      <c r="Q25" s="39" t="s">
        <v>5</v>
      </c>
      <c r="R25" s="2" t="s">
        <v>6</v>
      </c>
      <c r="AA25" s="358"/>
      <c r="AB25" s="358">
        <v>20</v>
      </c>
      <c r="AC25" s="358">
        <v>100</v>
      </c>
      <c r="AD25" s="358">
        <v>26.651361683092208</v>
      </c>
      <c r="AE25" s="358">
        <v>27.325918664092931</v>
      </c>
      <c r="AF25" s="358">
        <f>AE25-AD25</f>
        <v>0.67455698100072325</v>
      </c>
    </row>
    <row r="26" spans="4:32" ht="18">
      <c r="E26" s="39"/>
      <c r="F26" s="39"/>
      <c r="G26" s="39">
        <v>20</v>
      </c>
      <c r="H26" s="51">
        <v>100</v>
      </c>
      <c r="I26" s="51">
        <v>24.693069588724949</v>
      </c>
      <c r="J26" s="51">
        <v>25.451538738700066</v>
      </c>
      <c r="K26" s="51">
        <f>J26-I26</f>
        <v>0.75846914997511661</v>
      </c>
      <c r="L26" s="39"/>
      <c r="M26" s="39"/>
      <c r="N26" s="39">
        <v>20</v>
      </c>
      <c r="O26" s="39">
        <v>100</v>
      </c>
      <c r="P26" s="48">
        <v>24.423451687303288</v>
      </c>
      <c r="Q26" s="47">
        <v>25.446416464234368</v>
      </c>
      <c r="R26" s="39">
        <f>Q26-P26</f>
        <v>1.0229647769310795</v>
      </c>
      <c r="AA26" s="358">
        <f>0.0946-0.0306</f>
        <v>6.4000000000000001E-2</v>
      </c>
      <c r="AB26" s="358" t="s">
        <v>2</v>
      </c>
      <c r="AC26" s="358" t="s">
        <v>3</v>
      </c>
      <c r="AD26" s="358" t="s">
        <v>59</v>
      </c>
      <c r="AE26" s="358" t="s">
        <v>5</v>
      </c>
      <c r="AF26" s="359" t="s">
        <v>6</v>
      </c>
    </row>
    <row r="27" spans="4:32">
      <c r="E27" s="39"/>
      <c r="F27" s="1" t="s">
        <v>15</v>
      </c>
      <c r="G27" s="39"/>
      <c r="L27" s="39"/>
      <c r="M27" s="39"/>
      <c r="N27" s="39"/>
      <c r="O27" s="39"/>
      <c r="P27" s="39"/>
      <c r="Q27" s="39"/>
      <c r="R27" s="39"/>
      <c r="AA27" s="358"/>
      <c r="AB27" s="358">
        <v>20</v>
      </c>
      <c r="AC27" s="358">
        <v>100</v>
      </c>
      <c r="AD27" s="358">
        <v>27.114322162528165</v>
      </c>
      <c r="AE27" s="358">
        <v>27.703521889658099</v>
      </c>
      <c r="AF27" s="358">
        <f>AE27-AD27</f>
        <v>0.58919972712993385</v>
      </c>
    </row>
    <row r="28" spans="4:32" ht="18">
      <c r="E28" s="39"/>
      <c r="F28" s="39">
        <f>0.0541-0.0073</f>
        <v>4.6800000000000001E-2</v>
      </c>
      <c r="G28" s="39" t="s">
        <v>2</v>
      </c>
      <c r="H28" s="51" t="s">
        <v>3</v>
      </c>
      <c r="I28" s="51" t="s">
        <v>4</v>
      </c>
      <c r="J28" s="51" t="s">
        <v>5</v>
      </c>
      <c r="K28" s="52" t="s">
        <v>6</v>
      </c>
      <c r="L28" s="39"/>
      <c r="M28" s="39">
        <f>0.0534-0.0116</f>
        <v>4.1800000000000004E-2</v>
      </c>
      <c r="N28" s="39" t="s">
        <v>2</v>
      </c>
      <c r="O28" s="39" t="s">
        <v>3</v>
      </c>
      <c r="P28" s="39" t="s">
        <v>4</v>
      </c>
      <c r="Q28" s="39" t="s">
        <v>5</v>
      </c>
      <c r="R28" s="2" t="s">
        <v>6</v>
      </c>
    </row>
    <row r="29" spans="4:32">
      <c r="E29" s="39"/>
      <c r="F29" s="39"/>
      <c r="G29" s="39">
        <v>20</v>
      </c>
      <c r="H29" s="51">
        <v>100</v>
      </c>
      <c r="I29" s="51">
        <v>24.42326542277727</v>
      </c>
      <c r="J29" s="51">
        <v>25.111140317388781</v>
      </c>
      <c r="K29" s="51">
        <f>J29-I29</f>
        <v>0.68787489461151097</v>
      </c>
      <c r="L29" s="39"/>
      <c r="M29" s="39"/>
      <c r="N29" s="39">
        <v>20</v>
      </c>
      <c r="O29" s="39">
        <v>100</v>
      </c>
      <c r="P29" s="50">
        <v>24.167617360807508</v>
      </c>
      <c r="Q29" s="49">
        <v>25.114958740172312</v>
      </c>
      <c r="R29" s="39">
        <f>Q29-P29</f>
        <v>0.94734137936480423</v>
      </c>
    </row>
    <row r="34" spans="5:12">
      <c r="E34" s="21">
        <v>42150</v>
      </c>
    </row>
    <row r="35" spans="5:12">
      <c r="E35" s="115" t="s">
        <v>23</v>
      </c>
      <c r="F35" s="115"/>
      <c r="G35" s="115"/>
      <c r="H35" s="115"/>
      <c r="I35" s="115"/>
      <c r="J35" s="115"/>
      <c r="K35" s="115"/>
      <c r="L35" s="115"/>
    </row>
    <row r="36" spans="5:12">
      <c r="E36" s="115"/>
      <c r="F36" s="115"/>
      <c r="G36" s="1" t="s">
        <v>24</v>
      </c>
      <c r="H36" s="115"/>
      <c r="I36" s="115"/>
      <c r="J36" s="115"/>
      <c r="K36" s="115"/>
      <c r="L36" s="115"/>
    </row>
    <row r="37" spans="5:12" ht="18">
      <c r="E37" s="115"/>
      <c r="F37" s="115"/>
      <c r="G37" s="115">
        <f>0.1285-0.0002</f>
        <v>0.1283</v>
      </c>
      <c r="H37" s="115" t="s">
        <v>2</v>
      </c>
      <c r="I37" s="115" t="s">
        <v>3</v>
      </c>
      <c r="J37" s="115" t="s">
        <v>4</v>
      </c>
      <c r="K37" s="115" t="s">
        <v>5</v>
      </c>
      <c r="L37" s="2" t="s">
        <v>6</v>
      </c>
    </row>
    <row r="38" spans="5:12">
      <c r="E38" s="115"/>
      <c r="F38" s="115"/>
      <c r="G38" s="115"/>
      <c r="H38" s="115">
        <v>20</v>
      </c>
      <c r="I38" s="115">
        <v>100</v>
      </c>
      <c r="J38" s="117">
        <v>25.907793695199118</v>
      </c>
      <c r="K38" s="116">
        <v>25.97196182441483</v>
      </c>
      <c r="L38" s="115">
        <f>K38-J38</f>
        <v>6.4168129215712355E-2</v>
      </c>
    </row>
    <row r="39" spans="5:12">
      <c r="E39" s="115"/>
      <c r="F39" s="115"/>
      <c r="G39" s="1" t="s">
        <v>25</v>
      </c>
      <c r="H39" s="115"/>
      <c r="I39" s="115"/>
      <c r="J39" s="115"/>
      <c r="K39" s="115"/>
      <c r="L39" s="115"/>
    </row>
    <row r="40" spans="5:12" ht="18">
      <c r="E40" s="115"/>
      <c r="F40" s="115"/>
      <c r="G40" s="115">
        <f>0.0688-0.0021</f>
        <v>6.6699999999999995E-2</v>
      </c>
      <c r="H40" s="115" t="s">
        <v>2</v>
      </c>
      <c r="I40" s="115" t="s">
        <v>3</v>
      </c>
      <c r="J40" s="115" t="s">
        <v>4</v>
      </c>
      <c r="K40" s="115" t="s">
        <v>5</v>
      </c>
      <c r="L40" s="2" t="s">
        <v>6</v>
      </c>
    </row>
    <row r="41" spans="5:12">
      <c r="E41" s="115"/>
      <c r="F41" s="115"/>
      <c r="G41" s="115"/>
      <c r="H41" s="115">
        <v>20</v>
      </c>
      <c r="I41" s="115">
        <v>100</v>
      </c>
      <c r="J41" s="119">
        <v>25.969633517839515</v>
      </c>
      <c r="K41" s="118">
        <v>25.976339040776448</v>
      </c>
      <c r="L41" s="115">
        <f>K41-J41</f>
        <v>6.7055229369330505E-3</v>
      </c>
    </row>
    <row r="42" spans="5:12">
      <c r="E42" s="115"/>
      <c r="F42" s="115"/>
      <c r="G42" s="1" t="s">
        <v>26</v>
      </c>
      <c r="H42" s="115"/>
      <c r="I42" s="115"/>
      <c r="J42" s="115"/>
      <c r="K42" s="115"/>
      <c r="L42" s="115"/>
    </row>
    <row r="43" spans="5:12" ht="18">
      <c r="E43" s="115"/>
      <c r="F43" s="115"/>
      <c r="G43" s="115">
        <f>0.0422-0.0004</f>
        <v>4.1800000000000004E-2</v>
      </c>
      <c r="H43" s="115" t="s">
        <v>2</v>
      </c>
      <c r="I43" s="115" t="s">
        <v>3</v>
      </c>
      <c r="J43" s="115" t="s">
        <v>4</v>
      </c>
      <c r="K43" s="115" t="s">
        <v>5</v>
      </c>
      <c r="L43" s="2" t="s">
        <v>6</v>
      </c>
    </row>
    <row r="44" spans="5:12">
      <c r="E44" s="115"/>
      <c r="F44" s="115"/>
      <c r="G44" s="115"/>
      <c r="H44" s="115">
        <v>20</v>
      </c>
      <c r="I44" s="115">
        <v>100</v>
      </c>
      <c r="J44" s="121">
        <v>25.971775559888812</v>
      </c>
      <c r="K44" s="120">
        <v>25.97997119903393</v>
      </c>
      <c r="L44" s="115">
        <f>K44-J44</f>
        <v>8.1956391451178945E-3</v>
      </c>
    </row>
    <row r="45" spans="5:12">
      <c r="E45" s="115"/>
      <c r="F45" s="115"/>
      <c r="G45" s="1" t="s">
        <v>27</v>
      </c>
      <c r="H45" s="115"/>
      <c r="I45" s="115"/>
      <c r="J45" s="115"/>
      <c r="K45" s="115"/>
      <c r="L45" s="115"/>
    </row>
    <row r="46" spans="5:12" ht="18">
      <c r="E46" s="115"/>
      <c r="F46" s="115"/>
      <c r="G46" s="115">
        <f>0.055-0.002</f>
        <v>5.2999999999999999E-2</v>
      </c>
      <c r="H46" s="115" t="s">
        <v>2</v>
      </c>
      <c r="I46" s="115" t="s">
        <v>3</v>
      </c>
      <c r="J46" s="115" t="s">
        <v>4</v>
      </c>
      <c r="K46" s="115" t="s">
        <v>5</v>
      </c>
      <c r="L46" s="2" t="s">
        <v>6</v>
      </c>
    </row>
    <row r="47" spans="5:12">
      <c r="E47" s="115"/>
      <c r="F47" s="115"/>
      <c r="G47" s="115"/>
      <c r="H47" s="115">
        <v>20</v>
      </c>
      <c r="I47" s="115">
        <v>100</v>
      </c>
      <c r="J47" s="123">
        <v>26.082975481925946</v>
      </c>
      <c r="K47" s="122">
        <v>26.30714483899742</v>
      </c>
      <c r="L47" s="115">
        <f>K47-J47</f>
        <v>0.22416935707147445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A29"/>
  <sheetViews>
    <sheetView topLeftCell="E1" workbookViewId="0">
      <selection activeCell="W4" sqref="W4"/>
    </sheetView>
  </sheetViews>
  <sheetFormatPr defaultRowHeight="15"/>
  <sheetData>
    <row r="2" spans="4:27">
      <c r="D2" s="21">
        <v>42142</v>
      </c>
    </row>
    <row r="3" spans="4:27">
      <c r="E3" s="50" t="s">
        <v>0</v>
      </c>
      <c r="F3" s="50"/>
      <c r="G3" s="1" t="s">
        <v>19</v>
      </c>
      <c r="H3" s="50"/>
      <c r="I3" s="51">
        <f>G4/20*60</f>
        <v>0.4098</v>
      </c>
      <c r="K3" s="51"/>
      <c r="L3" s="51"/>
      <c r="M3" s="50"/>
      <c r="N3" s="50"/>
      <c r="O3" s="50"/>
      <c r="P3" s="50"/>
      <c r="Q3" s="50"/>
      <c r="R3" s="50"/>
      <c r="S3" s="50"/>
    </row>
    <row r="4" spans="4:27" ht="18">
      <c r="E4" s="50"/>
      <c r="F4" s="50"/>
      <c r="G4" s="50">
        <f>0.1366</f>
        <v>0.1366</v>
      </c>
      <c r="H4" s="50" t="s">
        <v>2</v>
      </c>
      <c r="I4" s="51" t="s">
        <v>3</v>
      </c>
      <c r="J4" s="51" t="s">
        <v>4</v>
      </c>
      <c r="K4" s="51" t="s">
        <v>5</v>
      </c>
      <c r="L4" s="52" t="s">
        <v>6</v>
      </c>
      <c r="M4" s="50"/>
      <c r="N4" s="50">
        <f>0.1582-0.0202</f>
        <v>0.13800000000000001</v>
      </c>
      <c r="O4" s="50" t="s">
        <v>2</v>
      </c>
      <c r="P4" s="50" t="s">
        <v>3</v>
      </c>
      <c r="Q4" s="50" t="s">
        <v>4</v>
      </c>
      <c r="R4" s="50" t="s">
        <v>5</v>
      </c>
      <c r="S4" s="2" t="s">
        <v>6</v>
      </c>
      <c r="U4">
        <f>_xlfn.STDEV.S(S5:U5)</f>
        <v>0.44826025432225619</v>
      </c>
    </row>
    <row r="5" spans="4:27">
      <c r="E5" s="50"/>
      <c r="F5" s="50"/>
      <c r="G5" s="50"/>
      <c r="H5" s="50">
        <v>20</v>
      </c>
      <c r="I5" s="51">
        <v>100</v>
      </c>
      <c r="J5" s="54">
        <v>25.085994606375362</v>
      </c>
      <c r="K5" s="53">
        <v>36.805851716151949</v>
      </c>
      <c r="L5" s="51">
        <f>K5-J5</f>
        <v>11.719857109776587</v>
      </c>
      <c r="M5" s="50"/>
      <c r="N5" s="50"/>
      <c r="O5" s="50">
        <v>20</v>
      </c>
      <c r="P5" s="50">
        <v>100</v>
      </c>
      <c r="Q5" s="56">
        <v>25.451818135489109</v>
      </c>
      <c r="R5" s="55">
        <v>36.329063858334102</v>
      </c>
      <c r="S5" s="50">
        <f>R5-Q5</f>
        <v>10.877245722844993</v>
      </c>
      <c r="T5">
        <v>11.719857109776587</v>
      </c>
      <c r="U5">
        <v>11.033379199110207</v>
      </c>
    </row>
    <row r="6" spans="4:27">
      <c r="E6" s="50" t="s">
        <v>7</v>
      </c>
      <c r="F6" s="50"/>
      <c r="G6" s="1" t="s">
        <v>20</v>
      </c>
      <c r="H6" s="50"/>
      <c r="I6" s="51"/>
      <c r="J6" s="51"/>
      <c r="K6" s="51"/>
      <c r="L6" s="51"/>
      <c r="M6" s="50"/>
      <c r="N6" s="50"/>
      <c r="O6" s="50"/>
      <c r="P6" s="50"/>
      <c r="Q6" s="50"/>
      <c r="R6" s="50"/>
      <c r="S6" s="50"/>
    </row>
    <row r="7" spans="4:27" ht="18">
      <c r="E7" s="50"/>
      <c r="F7" s="50"/>
      <c r="G7" s="50">
        <f>0.0847-0.0248</f>
        <v>5.9899999999999995E-2</v>
      </c>
      <c r="H7" s="50" t="s">
        <v>2</v>
      </c>
      <c r="I7" s="51" t="s">
        <v>3</v>
      </c>
      <c r="J7" s="51" t="s">
        <v>4</v>
      </c>
      <c r="K7" s="51" t="s">
        <v>5</v>
      </c>
      <c r="L7" s="52" t="s">
        <v>6</v>
      </c>
      <c r="M7" s="50"/>
      <c r="N7" s="50">
        <f>0.0613-0</f>
        <v>6.13E-2</v>
      </c>
      <c r="O7" s="50" t="s">
        <v>2</v>
      </c>
      <c r="P7" s="50" t="s">
        <v>3</v>
      </c>
      <c r="Q7" s="50" t="s">
        <v>4</v>
      </c>
      <c r="R7" s="50" t="s">
        <v>5</v>
      </c>
      <c r="S7" s="2" t="s">
        <v>6</v>
      </c>
      <c r="U7" s="60">
        <f>0.0735-0.0184</f>
        <v>5.5099999999999996E-2</v>
      </c>
      <c r="V7" s="60" t="s">
        <v>2</v>
      </c>
      <c r="W7" s="60" t="s">
        <v>3</v>
      </c>
      <c r="X7" s="60" t="s">
        <v>4</v>
      </c>
      <c r="Y7" s="60" t="s">
        <v>5</v>
      </c>
      <c r="Z7" s="2" t="s">
        <v>6</v>
      </c>
    </row>
    <row r="8" spans="4:27">
      <c r="E8" s="50"/>
      <c r="F8" s="50"/>
      <c r="G8" s="50"/>
      <c r="H8" s="50">
        <v>20</v>
      </c>
      <c r="I8" s="51">
        <v>100</v>
      </c>
      <c r="J8" s="58">
        <v>25.620201267016007</v>
      </c>
      <c r="K8" s="57">
        <v>30.050503018528413</v>
      </c>
      <c r="L8" s="51">
        <f>K8-J8</f>
        <v>4.4303017515124061</v>
      </c>
      <c r="M8" s="229">
        <f>L8/G7</f>
        <v>73.961631911726315</v>
      </c>
      <c r="N8" s="50"/>
      <c r="O8" s="50">
        <v>20</v>
      </c>
      <c r="P8" s="50">
        <v>100</v>
      </c>
      <c r="Q8" s="60">
        <v>26.288332121868869</v>
      </c>
      <c r="R8" s="59">
        <v>31.072722737355384</v>
      </c>
      <c r="S8" s="50">
        <f>R8-Q8</f>
        <v>4.7843906154865152</v>
      </c>
      <c r="T8" s="229">
        <f>S8/N7</f>
        <v>78.048786549535322</v>
      </c>
      <c r="U8" s="60"/>
      <c r="V8" s="60">
        <v>20</v>
      </c>
      <c r="W8" s="60">
        <v>100</v>
      </c>
      <c r="X8" s="62">
        <v>24.081097488468728</v>
      </c>
      <c r="Y8" s="61">
        <v>28.169045041146575</v>
      </c>
      <c r="Z8" s="60">
        <f>Y8-X8</f>
        <v>4.0879475526778464</v>
      </c>
      <c r="AA8" s="229">
        <f>Z8/U7</f>
        <v>74.191425638436414</v>
      </c>
    </row>
    <row r="9" spans="4:27">
      <c r="E9" s="50" t="s">
        <v>7</v>
      </c>
      <c r="F9" s="50"/>
      <c r="G9" s="1" t="s">
        <v>21</v>
      </c>
      <c r="H9" s="50"/>
      <c r="I9" s="51"/>
      <c r="J9" s="51"/>
      <c r="K9" s="51"/>
      <c r="L9" s="51"/>
      <c r="M9" s="50"/>
      <c r="N9" s="50"/>
      <c r="O9" s="50"/>
      <c r="P9" s="50"/>
      <c r="Q9" s="50"/>
      <c r="R9" s="50"/>
      <c r="S9" s="50"/>
    </row>
    <row r="10" spans="4:27" ht="18">
      <c r="E10" s="50"/>
      <c r="F10" s="50"/>
      <c r="G10" s="50">
        <f>0.064-0.0153</f>
        <v>4.87E-2</v>
      </c>
      <c r="H10" s="50" t="s">
        <v>2</v>
      </c>
      <c r="I10" s="51" t="s">
        <v>3</v>
      </c>
      <c r="J10" s="51" t="s">
        <v>4</v>
      </c>
      <c r="K10" s="51" t="s">
        <v>5</v>
      </c>
      <c r="L10" s="52" t="s">
        <v>6</v>
      </c>
      <c r="M10" s="50"/>
      <c r="N10" s="50">
        <f>0.0549-0.0044</f>
        <v>5.0499999999999996E-2</v>
      </c>
      <c r="O10" s="50" t="s">
        <v>2</v>
      </c>
      <c r="P10" s="50" t="s">
        <v>3</v>
      </c>
      <c r="Q10" s="50" t="s">
        <v>4</v>
      </c>
      <c r="R10" s="50" t="s">
        <v>5</v>
      </c>
      <c r="S10" s="2" t="s">
        <v>6</v>
      </c>
      <c r="U10" s="66">
        <f>0.05-0.001</f>
        <v>4.9000000000000002E-2</v>
      </c>
      <c r="V10" s="66" t="s">
        <v>2</v>
      </c>
      <c r="W10" s="66" t="s">
        <v>3</v>
      </c>
      <c r="X10" s="66" t="s">
        <v>4</v>
      </c>
      <c r="Y10" s="66" t="s">
        <v>5</v>
      </c>
      <c r="Z10" s="2" t="s">
        <v>6</v>
      </c>
    </row>
    <row r="11" spans="4:27">
      <c r="E11" s="50"/>
      <c r="F11" s="50"/>
      <c r="G11" s="50"/>
      <c r="H11" s="50">
        <v>20</v>
      </c>
      <c r="I11" s="51">
        <v>100</v>
      </c>
      <c r="J11" s="64">
        <v>24.766457811978931</v>
      </c>
      <c r="K11" s="63">
        <v>26.268401817584142</v>
      </c>
      <c r="L11" s="51">
        <f>K11-J11</f>
        <v>1.5019440056052105</v>
      </c>
      <c r="M11" s="50"/>
      <c r="N11" s="50"/>
      <c r="O11" s="50">
        <v>20</v>
      </c>
      <c r="P11" s="50">
        <v>100</v>
      </c>
      <c r="Q11" s="66">
        <v>25.445298877078223</v>
      </c>
      <c r="R11" s="65">
        <v>26.302674490372809</v>
      </c>
      <c r="S11" s="50">
        <f>R11-Q11</f>
        <v>0.857375613294586</v>
      </c>
      <c r="U11" s="66"/>
      <c r="V11" s="66">
        <v>20</v>
      </c>
      <c r="W11" s="66">
        <v>100</v>
      </c>
      <c r="X11" s="68">
        <v>25.613123215027034</v>
      </c>
      <c r="Y11" s="67">
        <v>26.642048456790942</v>
      </c>
      <c r="Z11" s="66">
        <f>Y11-X11</f>
        <v>1.0289252417639076</v>
      </c>
    </row>
    <row r="12" spans="4:27">
      <c r="E12" s="50" t="s">
        <v>7</v>
      </c>
      <c r="F12" s="50"/>
      <c r="G12" s="1" t="s">
        <v>22</v>
      </c>
      <c r="H12" s="50"/>
      <c r="I12" s="51"/>
      <c r="M12" s="50"/>
      <c r="N12" s="50"/>
      <c r="O12" s="50"/>
      <c r="P12" s="50"/>
      <c r="Q12" s="50"/>
      <c r="R12" s="50"/>
      <c r="S12" s="50"/>
    </row>
    <row r="13" spans="4:27" ht="18">
      <c r="E13" s="50"/>
      <c r="F13" s="50"/>
      <c r="G13" s="50">
        <f>0.0508-0.0085</f>
        <v>4.2299999999999997E-2</v>
      </c>
      <c r="H13" s="50" t="s">
        <v>2</v>
      </c>
      <c r="I13" s="51" t="s">
        <v>3</v>
      </c>
      <c r="J13" s="51" t="s">
        <v>4</v>
      </c>
      <c r="K13" s="51" t="s">
        <v>5</v>
      </c>
      <c r="L13" s="52" t="s">
        <v>6</v>
      </c>
      <c r="M13" s="50"/>
      <c r="N13" s="50">
        <f>0.0563-0.0055</f>
        <v>5.0800000000000005E-2</v>
      </c>
      <c r="O13" s="50" t="s">
        <v>2</v>
      </c>
      <c r="P13" s="50" t="s">
        <v>3</v>
      </c>
      <c r="Q13" s="50" t="s">
        <v>4</v>
      </c>
      <c r="R13" s="50" t="s">
        <v>5</v>
      </c>
      <c r="S13" s="2" t="s">
        <v>6</v>
      </c>
      <c r="U13" s="72">
        <f>0.0546-0.0002</f>
        <v>5.4400000000000004E-2</v>
      </c>
      <c r="V13" s="72" t="s">
        <v>2</v>
      </c>
      <c r="W13" s="72" t="s">
        <v>3</v>
      </c>
      <c r="X13" s="72" t="s">
        <v>4</v>
      </c>
      <c r="Y13" s="72" t="s">
        <v>5</v>
      </c>
      <c r="Z13" s="2" t="s">
        <v>6</v>
      </c>
    </row>
    <row r="14" spans="4:27">
      <c r="E14" s="50"/>
      <c r="F14" s="50"/>
      <c r="G14" s="50"/>
      <c r="H14" s="50">
        <v>20</v>
      </c>
      <c r="I14" s="51">
        <v>100</v>
      </c>
      <c r="J14" s="70">
        <v>25.445112612552201</v>
      </c>
      <c r="K14" s="69">
        <v>27.49793395387734</v>
      </c>
      <c r="L14" s="51">
        <f>K14-J14</f>
        <v>2.0528213413251386</v>
      </c>
      <c r="M14" s="86"/>
      <c r="N14" s="50"/>
      <c r="O14" s="50">
        <v>20</v>
      </c>
      <c r="P14" s="50">
        <v>100</v>
      </c>
      <c r="Q14" s="72">
        <v>25.915523673029174</v>
      </c>
      <c r="R14" s="71">
        <v>28.856081745391009</v>
      </c>
      <c r="S14" s="50">
        <f>R14-Q14</f>
        <v>2.940558072361835</v>
      </c>
      <c r="U14" s="72"/>
      <c r="V14" s="72">
        <v>20</v>
      </c>
      <c r="W14" s="72">
        <v>100</v>
      </c>
      <c r="X14" s="74">
        <v>25.621598250961199</v>
      </c>
      <c r="Y14" s="73">
        <v>27.842616459287189</v>
      </c>
      <c r="Z14" s="72">
        <f>Y14-X14</f>
        <v>2.2210182083259902</v>
      </c>
    </row>
    <row r="17" spans="4:26">
      <c r="D17" s="21">
        <v>42143</v>
      </c>
    </row>
    <row r="18" spans="4:26">
      <c r="F18" s="74"/>
      <c r="G18" s="1" t="s">
        <v>19</v>
      </c>
      <c r="H18" s="74"/>
      <c r="I18" s="51"/>
      <c r="J18" s="74"/>
      <c r="K18" s="51"/>
      <c r="L18" s="51"/>
      <c r="M18" s="74"/>
      <c r="N18" s="74"/>
    </row>
    <row r="19" spans="4:26" ht="18">
      <c r="F19" s="74"/>
      <c r="G19" s="74">
        <f>0.1406-0.0143</f>
        <v>0.1263</v>
      </c>
      <c r="H19" s="74" t="s">
        <v>2</v>
      </c>
      <c r="I19" s="51" t="s">
        <v>3</v>
      </c>
      <c r="J19" s="51" t="s">
        <v>4</v>
      </c>
      <c r="K19" s="51" t="s">
        <v>5</v>
      </c>
      <c r="L19" s="52" t="s">
        <v>6</v>
      </c>
      <c r="M19" s="74"/>
      <c r="N19" s="74"/>
      <c r="P19" s="320" t="s">
        <v>20</v>
      </c>
    </row>
    <row r="20" spans="4:26" ht="18">
      <c r="F20" s="74"/>
      <c r="G20" s="74"/>
      <c r="H20" s="74">
        <v>20</v>
      </c>
      <c r="I20" s="51">
        <v>100</v>
      </c>
      <c r="J20" s="76">
        <v>23.731013311804141</v>
      </c>
      <c r="K20" s="75">
        <v>34.764392510914348</v>
      </c>
      <c r="L20" s="51">
        <f>K20-J20</f>
        <v>11.033379199110207</v>
      </c>
      <c r="M20" s="74"/>
      <c r="N20" s="74"/>
      <c r="O20" s="319"/>
      <c r="P20" s="319"/>
      <c r="Q20" s="319" t="s">
        <v>2</v>
      </c>
      <c r="R20" s="320" t="s">
        <v>3</v>
      </c>
      <c r="S20" s="320" t="s">
        <v>58</v>
      </c>
      <c r="T20" s="320" t="s">
        <v>5</v>
      </c>
      <c r="U20" s="321" t="s">
        <v>6</v>
      </c>
    </row>
    <row r="21" spans="4:26">
      <c r="F21" s="74"/>
      <c r="G21" s="1" t="s">
        <v>20</v>
      </c>
      <c r="H21" s="74"/>
      <c r="I21" s="51"/>
      <c r="J21" s="51"/>
      <c r="K21" s="51"/>
      <c r="L21" s="51"/>
      <c r="M21" s="74"/>
      <c r="N21" s="74"/>
      <c r="O21" s="322">
        <v>42247</v>
      </c>
      <c r="P21" s="320">
        <f>0.0696-0.0083</f>
        <v>6.1299999999999993E-2</v>
      </c>
      <c r="Q21" s="320">
        <v>20</v>
      </c>
      <c r="R21" s="320">
        <v>100</v>
      </c>
      <c r="S21" s="320">
        <v>26.304909664685102</v>
      </c>
      <c r="T21" s="320">
        <v>28.180034648182072</v>
      </c>
      <c r="U21" s="320">
        <f t="shared" ref="U21:U23" si="0">T21-S21</f>
        <v>1.8751249834969705</v>
      </c>
    </row>
    <row r="22" spans="4:26" ht="18">
      <c r="F22" s="74"/>
      <c r="G22" s="74">
        <f>0.064-0.0005</f>
        <v>6.3500000000000001E-2</v>
      </c>
      <c r="H22" s="74" t="s">
        <v>2</v>
      </c>
      <c r="I22" s="51" t="s">
        <v>3</v>
      </c>
      <c r="J22" s="51" t="s">
        <v>4</v>
      </c>
      <c r="K22" s="51" t="s">
        <v>5</v>
      </c>
      <c r="L22" s="52" t="s">
        <v>6</v>
      </c>
      <c r="M22" s="74">
        <f>U7/20*60</f>
        <v>0.16529999999999997</v>
      </c>
      <c r="N22" s="74"/>
      <c r="O22" s="319"/>
      <c r="P22" s="320">
        <f>0.0653-0.0016</f>
        <v>6.3699999999999993E-2</v>
      </c>
      <c r="Q22" s="320">
        <v>20</v>
      </c>
      <c r="R22" s="320">
        <v>100</v>
      </c>
      <c r="S22" s="320">
        <v>25.961065349642354</v>
      </c>
      <c r="T22" s="320">
        <v>26.906264686957886</v>
      </c>
      <c r="U22" s="320">
        <f t="shared" si="0"/>
        <v>0.94519933731553252</v>
      </c>
    </row>
    <row r="23" spans="4:26">
      <c r="F23" s="74"/>
      <c r="G23" s="74"/>
      <c r="H23" s="74">
        <v>20</v>
      </c>
      <c r="I23" s="51">
        <v>100</v>
      </c>
      <c r="J23" s="78">
        <v>24.417304957944442</v>
      </c>
      <c r="K23" s="77">
        <v>29.365701488596297</v>
      </c>
      <c r="L23" s="51">
        <f>K23-J23</f>
        <v>4.9483965306518556</v>
      </c>
      <c r="M23" s="74">
        <f>L23/G22</f>
        <v>77.927504419714253</v>
      </c>
      <c r="N23" s="74"/>
      <c r="O23" s="319"/>
      <c r="P23" s="320">
        <f>0.0774-0.0158</f>
        <v>6.1599999999999995E-2</v>
      </c>
      <c r="Q23" s="320">
        <v>20</v>
      </c>
      <c r="R23" s="320">
        <v>100</v>
      </c>
      <c r="S23" s="320">
        <v>26.298297274011219</v>
      </c>
      <c r="T23" s="320">
        <v>27.503056228343038</v>
      </c>
      <c r="U23" s="320">
        <f t="shared" si="0"/>
        <v>1.2047589543318189</v>
      </c>
    </row>
    <row r="24" spans="4:26">
      <c r="F24" s="74"/>
      <c r="G24" s="1" t="s">
        <v>21</v>
      </c>
      <c r="H24" s="74"/>
      <c r="I24" s="51"/>
      <c r="J24" s="51"/>
      <c r="K24" s="51"/>
      <c r="L24" s="51"/>
      <c r="M24" s="74"/>
      <c r="N24" s="74"/>
      <c r="O24" s="322">
        <v>42248</v>
      </c>
      <c r="P24" s="320">
        <f>0.0694-0.0079</f>
        <v>6.1499999999999999E-2</v>
      </c>
      <c r="Q24" s="320">
        <v>20</v>
      </c>
      <c r="R24" s="320">
        <v>100</v>
      </c>
      <c r="S24" s="319">
        <v>25.615265257076331</v>
      </c>
      <c r="T24" s="319">
        <v>26.623422004188409</v>
      </c>
      <c r="U24" s="320">
        <f t="shared" ref="U24" si="1">T24-S24</f>
        <v>1.0081567471120785</v>
      </c>
    </row>
    <row r="25" spans="4:26" ht="18">
      <c r="E25">
        <f>G25*3</f>
        <v>0.12390000000000001</v>
      </c>
      <c r="F25" s="74"/>
      <c r="G25" s="74">
        <f>0.0524-0.0111</f>
        <v>4.1300000000000003E-2</v>
      </c>
      <c r="H25" s="74" t="s">
        <v>2</v>
      </c>
      <c r="I25" s="51" t="s">
        <v>3</v>
      </c>
      <c r="J25" s="51" t="s">
        <v>4</v>
      </c>
      <c r="K25" s="51" t="s">
        <v>5</v>
      </c>
      <c r="L25" s="52" t="s">
        <v>6</v>
      </c>
      <c r="M25" s="74"/>
      <c r="N25" s="74">
        <f>0.0519</f>
        <v>5.1900000000000002E-2</v>
      </c>
      <c r="O25" s="74" t="s">
        <v>2</v>
      </c>
      <c r="P25" s="74" t="s">
        <v>3</v>
      </c>
      <c r="Q25" s="74" t="s">
        <v>4</v>
      </c>
      <c r="R25" s="74" t="s">
        <v>5</v>
      </c>
      <c r="S25" s="2" t="s">
        <v>6</v>
      </c>
    </row>
    <row r="26" spans="4:26">
      <c r="F26" s="74"/>
      <c r="G26" s="74"/>
      <c r="H26" s="74">
        <v>20</v>
      </c>
      <c r="I26" s="51">
        <v>100</v>
      </c>
      <c r="J26" s="86">
        <v>24.752674237053053</v>
      </c>
      <c r="K26" s="85">
        <v>26.971177874277707</v>
      </c>
      <c r="L26" s="51">
        <f>K26-J26</f>
        <v>2.2185036372246536</v>
      </c>
      <c r="M26" s="74"/>
      <c r="N26" s="74"/>
      <c r="O26" s="74">
        <v>20</v>
      </c>
      <c r="P26" s="74">
        <v>100</v>
      </c>
      <c r="Q26" s="88">
        <v>25.945325997193226</v>
      </c>
      <c r="R26" s="87">
        <v>28.172584067141059</v>
      </c>
      <c r="S26" s="74">
        <f>R26-Q26</f>
        <v>2.2272580699478333</v>
      </c>
    </row>
    <row r="27" spans="4:26">
      <c r="F27" s="74"/>
      <c r="G27" s="1" t="s">
        <v>22</v>
      </c>
      <c r="H27" s="74"/>
      <c r="I27" s="51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4:26" ht="18">
      <c r="F28" s="74"/>
      <c r="G28" s="74">
        <f>0.0679-0.0109</f>
        <v>5.7000000000000002E-2</v>
      </c>
      <c r="H28" s="74" t="s">
        <v>2</v>
      </c>
      <c r="I28" s="51" t="s">
        <v>3</v>
      </c>
      <c r="J28" s="51" t="s">
        <v>4</v>
      </c>
      <c r="K28" s="51" t="s">
        <v>5</v>
      </c>
      <c r="L28" s="52" t="s">
        <v>6</v>
      </c>
      <c r="M28" s="74"/>
      <c r="N28" s="74">
        <f>0.0525-0.0002</f>
        <v>5.2299999999999999E-2</v>
      </c>
      <c r="O28" s="74" t="s">
        <v>2</v>
      </c>
      <c r="P28" s="74" t="s">
        <v>3</v>
      </c>
      <c r="Q28" s="74" t="s">
        <v>4</v>
      </c>
      <c r="R28" s="74" t="s">
        <v>5</v>
      </c>
      <c r="S28" s="2" t="s">
        <v>6</v>
      </c>
      <c r="U28" s="82">
        <f>0.0567-0.0058</f>
        <v>5.0900000000000001E-2</v>
      </c>
      <c r="V28" s="82" t="s">
        <v>2</v>
      </c>
      <c r="W28" s="82" t="s">
        <v>3</v>
      </c>
      <c r="X28" s="82" t="s">
        <v>4</v>
      </c>
      <c r="Y28" s="82" t="s">
        <v>5</v>
      </c>
      <c r="Z28" s="2" t="s">
        <v>6</v>
      </c>
    </row>
    <row r="29" spans="4:26">
      <c r="F29" s="74"/>
      <c r="G29" s="74"/>
      <c r="H29" s="74">
        <v>20</v>
      </c>
      <c r="I29" s="51">
        <v>100</v>
      </c>
      <c r="J29" s="80">
        <v>24.07532328816195</v>
      </c>
      <c r="K29" s="79">
        <v>26.296062099698897</v>
      </c>
      <c r="L29" s="51">
        <f>K29-J29</f>
        <v>2.2207388115369469</v>
      </c>
      <c r="M29" s="74"/>
      <c r="N29" s="74"/>
      <c r="O29" s="74">
        <v>20</v>
      </c>
      <c r="P29" s="74">
        <v>100</v>
      </c>
      <c r="Q29" s="82">
        <v>25.09111688084106</v>
      </c>
      <c r="R29" s="81">
        <v>26.469474373428497</v>
      </c>
      <c r="S29" s="74">
        <f>R29-Q29</f>
        <v>1.3783574925874369</v>
      </c>
      <c r="U29" s="82"/>
      <c r="V29" s="82">
        <v>20</v>
      </c>
      <c r="W29" s="82">
        <v>100</v>
      </c>
      <c r="X29" s="84">
        <v>24.414231593265047</v>
      </c>
      <c r="Y29" s="83">
        <v>25.691633712746714</v>
      </c>
      <c r="Z29" s="82">
        <f>Y29-X29</f>
        <v>1.2774021194816676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B15"/>
  <sheetViews>
    <sheetView topLeftCell="U1" workbookViewId="0">
      <selection activeCell="L5" sqref="L5"/>
    </sheetView>
  </sheetViews>
  <sheetFormatPr defaultRowHeight="15"/>
  <cols>
    <col min="13" max="13" width="12.7109375" bestFit="1" customWidth="1"/>
  </cols>
  <sheetData>
    <row r="1" spans="5:28">
      <c r="U1" s="406"/>
      <c r="V1" s="320" t="s">
        <v>29</v>
      </c>
      <c r="W1" s="406"/>
      <c r="X1" s="406"/>
      <c r="Y1" s="406"/>
      <c r="Z1" s="406"/>
      <c r="AA1" s="406"/>
    </row>
    <row r="2" spans="5:28" ht="18">
      <c r="E2" s="21">
        <v>42150</v>
      </c>
      <c r="H2">
        <f>G4/20*80</f>
        <v>0.51200000000000001</v>
      </c>
      <c r="U2" s="319"/>
      <c r="V2" s="319"/>
      <c r="W2" s="319" t="s">
        <v>2</v>
      </c>
      <c r="X2" s="320" t="s">
        <v>3</v>
      </c>
      <c r="Y2" s="320" t="s">
        <v>58</v>
      </c>
      <c r="Z2" s="320" t="s">
        <v>5</v>
      </c>
      <c r="AA2" s="321" t="s">
        <v>6</v>
      </c>
    </row>
    <row r="3" spans="5:28">
      <c r="E3" s="96" t="s">
        <v>0</v>
      </c>
      <c r="F3" s="96"/>
      <c r="G3" s="1" t="s">
        <v>28</v>
      </c>
      <c r="H3" s="96"/>
      <c r="I3" s="51"/>
      <c r="J3" s="96"/>
      <c r="K3" s="51"/>
      <c r="L3" s="51"/>
      <c r="M3" s="96"/>
      <c r="N3" s="96"/>
      <c r="O3" s="96"/>
      <c r="P3" s="96"/>
      <c r="Q3" s="96"/>
      <c r="R3" s="96"/>
      <c r="S3" s="96"/>
      <c r="U3" s="322">
        <v>42268</v>
      </c>
      <c r="V3" s="320">
        <f>0.072-0.0027</f>
        <v>6.93E-2</v>
      </c>
      <c r="W3" s="320">
        <v>20</v>
      </c>
      <c r="X3" s="320">
        <v>100</v>
      </c>
      <c r="Y3" s="319">
        <v>23.870152912745048</v>
      </c>
      <c r="Z3" s="319">
        <v>26.655273238138761</v>
      </c>
      <c r="AA3" s="320">
        <f t="shared" ref="AA3:AA6" si="0">Z3-Y3</f>
        <v>2.7851203253937129</v>
      </c>
      <c r="AB3">
        <f>AA3/V3</f>
        <v>40.189326484757764</v>
      </c>
    </row>
    <row r="4" spans="5:28" ht="18">
      <c r="E4" s="96"/>
      <c r="F4" s="96"/>
      <c r="G4" s="96">
        <f>0.1286-0.0006</f>
        <v>0.128</v>
      </c>
      <c r="H4" s="96" t="s">
        <v>2</v>
      </c>
      <c r="I4" s="51" t="s">
        <v>3</v>
      </c>
      <c r="J4" s="51" t="s">
        <v>4</v>
      </c>
      <c r="K4" s="51" t="s">
        <v>5</v>
      </c>
      <c r="L4" s="52" t="s">
        <v>6</v>
      </c>
      <c r="M4" s="96"/>
      <c r="N4" s="96">
        <f>0.1315-0.0148</f>
        <v>0.1167</v>
      </c>
      <c r="O4" s="96" t="s">
        <v>2</v>
      </c>
      <c r="P4" s="96" t="s">
        <v>3</v>
      </c>
      <c r="Q4" s="96" t="s">
        <v>4</v>
      </c>
      <c r="R4" s="96" t="s">
        <v>5</v>
      </c>
      <c r="S4" s="2" t="s">
        <v>6</v>
      </c>
      <c r="T4" s="21">
        <v>42270</v>
      </c>
      <c r="U4" s="319"/>
      <c r="V4" s="320">
        <f>0.0727-0.0072</f>
        <v>6.5500000000000003E-2</v>
      </c>
      <c r="W4" s="320">
        <v>20</v>
      </c>
      <c r="X4" s="320">
        <v>100</v>
      </c>
      <c r="Y4" s="319">
        <v>24.424103613144371</v>
      </c>
      <c r="Z4" s="319">
        <v>26.987569152567922</v>
      </c>
      <c r="AA4" s="320">
        <f t="shared" si="0"/>
        <v>2.5634655394235502</v>
      </c>
      <c r="AB4" s="419">
        <f t="shared" ref="AB4:AB6" si="1">AA4/V4</f>
        <v>39.136878464481683</v>
      </c>
    </row>
    <row r="5" spans="5:28">
      <c r="E5" s="96"/>
      <c r="F5" s="96"/>
      <c r="G5" s="96">
        <f>G4/20*80</f>
        <v>0.51200000000000001</v>
      </c>
      <c r="H5" s="96">
        <v>20</v>
      </c>
      <c r="I5" s="51">
        <v>100</v>
      </c>
      <c r="J5" s="97">
        <v>24.644454547432343</v>
      </c>
      <c r="K5" s="98">
        <v>39.755164221236967</v>
      </c>
      <c r="L5" s="51">
        <f>K5-J5</f>
        <v>15.110709673804624</v>
      </c>
      <c r="M5" s="96"/>
      <c r="N5" s="96"/>
      <c r="O5" s="96">
        <v>20</v>
      </c>
      <c r="P5" s="96">
        <v>100</v>
      </c>
      <c r="Q5" s="100">
        <v>25.801622915364682</v>
      </c>
      <c r="R5" s="99">
        <v>39.455837127914251</v>
      </c>
      <c r="S5" s="96">
        <f>R5-Q5</f>
        <v>13.654214212549569</v>
      </c>
      <c r="U5" s="319"/>
      <c r="V5" s="320">
        <f>0.0725-0.0036</f>
        <v>6.8899999999999989E-2</v>
      </c>
      <c r="W5" s="320">
        <v>20</v>
      </c>
      <c r="X5" s="320">
        <v>100</v>
      </c>
      <c r="Y5" s="319">
        <v>24.104008025169854</v>
      </c>
      <c r="Z5" s="319">
        <v>28.353633186437666</v>
      </c>
      <c r="AA5" s="320">
        <f t="shared" si="0"/>
        <v>4.2496251612678115</v>
      </c>
      <c r="AB5" s="419">
        <f t="shared" si="1"/>
        <v>61.678159089518317</v>
      </c>
    </row>
    <row r="6" spans="5:28">
      <c r="E6" s="96" t="s">
        <v>7</v>
      </c>
      <c r="F6" s="96"/>
      <c r="G6" s="1" t="s">
        <v>29</v>
      </c>
      <c r="H6" s="96"/>
      <c r="I6" s="51"/>
      <c r="J6" s="51"/>
      <c r="K6" s="51"/>
      <c r="L6" s="51"/>
      <c r="M6" s="96"/>
      <c r="N6" s="96"/>
      <c r="O6" s="96"/>
      <c r="P6" s="96"/>
      <c r="Q6" s="96"/>
      <c r="R6" s="96"/>
      <c r="S6" s="96"/>
      <c r="U6" s="322">
        <v>42275</v>
      </c>
      <c r="V6" s="320">
        <f>0.0894-0.0225</f>
        <v>6.6899999999999987E-2</v>
      </c>
      <c r="W6" s="320">
        <v>20</v>
      </c>
      <c r="X6" s="320">
        <v>100</v>
      </c>
      <c r="Y6" s="443">
        <v>24.097209369969924</v>
      </c>
      <c r="Z6" s="442">
        <v>26.01768976555406</v>
      </c>
      <c r="AA6" s="320">
        <f t="shared" si="0"/>
        <v>1.9204803955841356</v>
      </c>
      <c r="AB6" s="419">
        <f t="shared" si="1"/>
        <v>28.70673237046541</v>
      </c>
    </row>
    <row r="7" spans="5:28" ht="18">
      <c r="E7" s="96"/>
      <c r="F7" s="96"/>
      <c r="G7" s="96">
        <f>0.0702-0.0035</f>
        <v>6.6699999999999995E-2</v>
      </c>
      <c r="H7" s="96" t="s">
        <v>2</v>
      </c>
      <c r="I7" s="51" t="s">
        <v>3</v>
      </c>
      <c r="J7" s="51" t="s">
        <v>4</v>
      </c>
      <c r="K7" s="51" t="s">
        <v>5</v>
      </c>
      <c r="L7" s="52" t="s">
        <v>6</v>
      </c>
      <c r="M7" s="96"/>
      <c r="N7" s="96">
        <f>0.083-0.0152</f>
        <v>6.7799999999999999E-2</v>
      </c>
      <c r="O7" s="96" t="s">
        <v>2</v>
      </c>
      <c r="P7" s="96" t="s">
        <v>3</v>
      </c>
      <c r="Q7" s="96" t="s">
        <v>4</v>
      </c>
      <c r="R7" s="96" t="s">
        <v>5</v>
      </c>
      <c r="S7" s="2" t="s">
        <v>6</v>
      </c>
      <c r="V7" s="320">
        <f>0.0839-0.0208</f>
        <v>6.3100000000000003E-2</v>
      </c>
      <c r="W7" s="320">
        <v>20</v>
      </c>
      <c r="X7" s="320">
        <v>100</v>
      </c>
      <c r="Y7" s="445">
        <v>24.430622871555258</v>
      </c>
      <c r="Z7" s="444">
        <v>26.322977323709573</v>
      </c>
      <c r="AA7" s="320">
        <f t="shared" ref="AA7" si="2">Z7-Y7</f>
        <v>1.892354452154315</v>
      </c>
      <c r="AB7" s="443">
        <f t="shared" ref="AB7" si="3">AA7/V7</f>
        <v>29.989769447770442</v>
      </c>
    </row>
    <row r="8" spans="5:28">
      <c r="E8" s="96"/>
      <c r="F8" s="96"/>
      <c r="G8" s="96"/>
      <c r="H8" s="96">
        <v>20</v>
      </c>
      <c r="I8" s="51">
        <v>100</v>
      </c>
      <c r="J8" s="102">
        <v>25.109370804391553</v>
      </c>
      <c r="K8" s="101">
        <v>28.183294277387517</v>
      </c>
      <c r="L8" s="51">
        <f>K8-J8</f>
        <v>3.0739234729959648</v>
      </c>
      <c r="M8" s="96">
        <f>G7/20*80</f>
        <v>0.26679999999999998</v>
      </c>
      <c r="N8" s="96"/>
      <c r="O8" s="96">
        <v>20</v>
      </c>
      <c r="P8" s="96">
        <v>100</v>
      </c>
      <c r="Q8" s="104">
        <v>25.629514493317274</v>
      </c>
      <c r="R8" s="103">
        <v>28.192980032740824</v>
      </c>
      <c r="S8" s="96">
        <f>R8-Q8</f>
        <v>2.5634655394235502</v>
      </c>
      <c r="U8" s="445"/>
      <c r="V8" s="320">
        <f>0.0732-0.0084</f>
        <v>6.4799999999999996E-2</v>
      </c>
      <c r="W8" s="320">
        <v>20</v>
      </c>
      <c r="X8" s="320">
        <v>100</v>
      </c>
      <c r="Y8" s="447">
        <v>24.782383428954081</v>
      </c>
      <c r="Z8" s="446">
        <v>28.533192189526087</v>
      </c>
      <c r="AA8" s="320">
        <f t="shared" ref="AA8:AA9" si="4">Z8-Y8</f>
        <v>3.7508087605720064</v>
      </c>
      <c r="AB8" s="445">
        <f t="shared" ref="AB8:AB9" si="5">AA8/V8</f>
        <v>57.882851243395166</v>
      </c>
    </row>
    <row r="9" spans="5:28">
      <c r="E9" s="96" t="s">
        <v>7</v>
      </c>
      <c r="F9" s="96"/>
      <c r="G9" s="1" t="s">
        <v>30</v>
      </c>
      <c r="H9" s="96"/>
      <c r="I9" s="51"/>
      <c r="J9" s="51"/>
      <c r="K9" s="51"/>
      <c r="L9" s="51"/>
      <c r="M9" s="96"/>
      <c r="N9" s="96"/>
      <c r="O9" s="96"/>
      <c r="P9" s="96"/>
      <c r="Q9" s="96"/>
      <c r="R9" s="96"/>
      <c r="S9" s="96"/>
      <c r="U9" s="21">
        <v>42282</v>
      </c>
      <c r="V9" s="320">
        <f>0.1053-0.0269</f>
        <v>7.8399999999999997E-2</v>
      </c>
      <c r="W9" s="320">
        <v>20</v>
      </c>
      <c r="X9" s="320">
        <v>100</v>
      </c>
      <c r="Y9" s="449">
        <v>24.311692971688093</v>
      </c>
      <c r="Z9" s="448">
        <v>25.857036611857215</v>
      </c>
      <c r="AA9" s="320">
        <f t="shared" si="4"/>
        <v>1.5453436401691221</v>
      </c>
      <c r="AB9" s="447">
        <f t="shared" si="5"/>
        <v>19.711015818483702</v>
      </c>
    </row>
    <row r="10" spans="5:28" s="445" customFormat="1">
      <c r="G10" s="1"/>
      <c r="I10" s="51"/>
      <c r="J10" s="51"/>
      <c r="K10" s="51"/>
      <c r="L10" s="51"/>
      <c r="V10" s="320"/>
      <c r="W10" s="320"/>
      <c r="X10" s="320"/>
      <c r="Y10" s="447"/>
      <c r="Z10" s="447"/>
      <c r="AA10" s="320"/>
      <c r="AB10" s="447"/>
    </row>
    <row r="11" spans="5:28" ht="18">
      <c r="E11" s="96"/>
      <c r="F11" s="96"/>
      <c r="G11" s="96">
        <f>0.0628-0.0165</f>
        <v>4.6299999999999994E-2</v>
      </c>
      <c r="H11" s="96" t="s">
        <v>2</v>
      </c>
      <c r="I11" s="51" t="s">
        <v>3</v>
      </c>
      <c r="J11" s="51" t="s">
        <v>4</v>
      </c>
      <c r="K11" s="51" t="s">
        <v>5</v>
      </c>
      <c r="L11" s="52" t="s">
        <v>6</v>
      </c>
      <c r="M11" s="96"/>
      <c r="N11" s="96">
        <f>0.0563-0.0055</f>
        <v>5.0800000000000005E-2</v>
      </c>
      <c r="O11" s="96" t="s">
        <v>2</v>
      </c>
      <c r="P11" s="96" t="s">
        <v>3</v>
      </c>
      <c r="Q11" s="96" t="s">
        <v>4</v>
      </c>
      <c r="R11" s="96" t="s">
        <v>5</v>
      </c>
      <c r="S11" s="2" t="s">
        <v>6</v>
      </c>
      <c r="U11" s="114">
        <f>0.0534-0.0065</f>
        <v>4.6900000000000004E-2</v>
      </c>
      <c r="V11" s="51" t="s">
        <v>2</v>
      </c>
      <c r="W11" s="51" t="s">
        <v>3</v>
      </c>
      <c r="X11" s="51" t="s">
        <v>4</v>
      </c>
      <c r="Y11" s="51" t="s">
        <v>5</v>
      </c>
      <c r="Z11" s="52" t="s">
        <v>6</v>
      </c>
    </row>
    <row r="12" spans="5:28">
      <c r="E12" s="96"/>
      <c r="F12" s="96"/>
      <c r="G12" s="96"/>
      <c r="H12" s="96">
        <v>20</v>
      </c>
      <c r="I12" s="51">
        <v>100</v>
      </c>
      <c r="J12" s="112">
        <v>25.180896382385281</v>
      </c>
      <c r="K12" s="111">
        <v>27.331692864399738</v>
      </c>
      <c r="L12" s="51">
        <f>K12-J12</f>
        <v>2.1507964820144565</v>
      </c>
      <c r="M12" s="96"/>
      <c r="N12" s="96"/>
      <c r="O12" s="96">
        <v>20</v>
      </c>
      <c r="P12" s="96">
        <v>100</v>
      </c>
      <c r="Q12" s="114">
        <v>24.264288649814659</v>
      </c>
      <c r="R12" s="113">
        <v>25.978294818299698</v>
      </c>
      <c r="S12" s="96">
        <f>R12-Q12</f>
        <v>1.7140061684850387</v>
      </c>
      <c r="U12" s="114"/>
      <c r="V12" s="51">
        <v>20</v>
      </c>
      <c r="W12" s="51">
        <v>100</v>
      </c>
      <c r="X12" s="51">
        <v>26.313850361934328</v>
      </c>
      <c r="Y12" s="51">
        <v>27.847273072437822</v>
      </c>
      <c r="Z12" s="51">
        <f>Y12-X12</f>
        <v>1.5334227105034941</v>
      </c>
      <c r="AA12" s="110"/>
    </row>
    <row r="13" spans="5:28">
      <c r="E13" s="96" t="s">
        <v>7</v>
      </c>
      <c r="F13" s="96"/>
      <c r="G13" s="1" t="s">
        <v>31</v>
      </c>
      <c r="H13" s="96"/>
      <c r="I13" s="51"/>
      <c r="J13" s="96"/>
      <c r="K13" s="96"/>
      <c r="L13" s="96"/>
      <c r="M13" s="96"/>
      <c r="N13" s="96"/>
      <c r="O13" s="96"/>
      <c r="P13" s="96"/>
      <c r="Q13" s="96"/>
      <c r="R13" s="96"/>
      <c r="S13" s="96"/>
      <c r="V13" s="51"/>
      <c r="W13" s="51"/>
      <c r="X13" s="51"/>
      <c r="Y13" s="51"/>
      <c r="Z13" s="51"/>
    </row>
    <row r="14" spans="5:28" ht="18">
      <c r="G14" s="96">
        <f>0.0693-0.0214</f>
        <v>4.7899999999999998E-2</v>
      </c>
      <c r="H14" s="96" t="s">
        <v>2</v>
      </c>
      <c r="I14" s="51" t="s">
        <v>3</v>
      </c>
      <c r="J14" s="51" t="s">
        <v>4</v>
      </c>
      <c r="K14" s="51" t="s">
        <v>5</v>
      </c>
      <c r="L14" s="52" t="s">
        <v>6</v>
      </c>
      <c r="M14" s="96"/>
      <c r="N14" s="96">
        <f>0.0776-0.0263</f>
        <v>5.1299999999999998E-2</v>
      </c>
      <c r="O14" s="96" t="s">
        <v>2</v>
      </c>
      <c r="P14" s="96" t="s">
        <v>3</v>
      </c>
      <c r="Q14" s="96" t="s">
        <v>4</v>
      </c>
      <c r="R14" s="96" t="s">
        <v>5</v>
      </c>
      <c r="S14" s="2" t="s">
        <v>6</v>
      </c>
      <c r="U14" s="109">
        <f>0.0488-0.0046</f>
        <v>4.4200000000000003E-2</v>
      </c>
      <c r="V14" s="51" t="s">
        <v>2</v>
      </c>
      <c r="W14" s="51" t="s">
        <v>3</v>
      </c>
      <c r="X14" s="51" t="s">
        <v>4</v>
      </c>
      <c r="Y14" s="51" t="s">
        <v>5</v>
      </c>
      <c r="Z14" s="52" t="s">
        <v>6</v>
      </c>
    </row>
    <row r="15" spans="5:28">
      <c r="G15" s="96"/>
      <c r="H15" s="96">
        <v>20</v>
      </c>
      <c r="I15" s="51">
        <v>100</v>
      </c>
      <c r="J15" s="106">
        <v>25.102944678243688</v>
      </c>
      <c r="K15" s="105">
        <v>25.790633308329181</v>
      </c>
      <c r="L15" s="51">
        <f>K15-J15</f>
        <v>0.68768863008549275</v>
      </c>
      <c r="M15" s="110"/>
      <c r="N15" s="96"/>
      <c r="O15" s="96">
        <v>20</v>
      </c>
      <c r="P15" s="96">
        <v>100</v>
      </c>
      <c r="Q15" s="108">
        <v>25.963114259428629</v>
      </c>
      <c r="R15" s="107">
        <v>27.501286715345781</v>
      </c>
      <c r="S15" s="96">
        <f>R15-Q15</f>
        <v>1.5381724559171523</v>
      </c>
      <c r="U15" s="109"/>
      <c r="V15" s="51">
        <v>20</v>
      </c>
      <c r="W15" s="51">
        <v>100</v>
      </c>
      <c r="X15" s="51">
        <v>25.971123634047729</v>
      </c>
      <c r="Y15" s="51">
        <v>26.629568733547256</v>
      </c>
      <c r="Z15" s="51">
        <f>Y15-X15</f>
        <v>0.65844509949952723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A31"/>
  <sheetViews>
    <sheetView topLeftCell="G4" workbookViewId="0">
      <selection activeCell="L22" sqref="L22"/>
    </sheetView>
  </sheetViews>
  <sheetFormatPr defaultRowHeight="15"/>
  <sheetData>
    <row r="3" spans="5:27">
      <c r="E3" s="21">
        <v>42156</v>
      </c>
      <c r="F3" s="123"/>
      <c r="G3" s="123"/>
      <c r="H3" s="123">
        <f>G5/20*100</f>
        <v>0.67599999999999993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5:27">
      <c r="E4" s="123" t="s">
        <v>0</v>
      </c>
      <c r="F4" s="123"/>
      <c r="G4" s="1" t="s">
        <v>32</v>
      </c>
      <c r="H4" s="123"/>
      <c r="I4" s="51"/>
      <c r="J4" s="123"/>
      <c r="K4" s="51"/>
      <c r="L4" s="51"/>
      <c r="M4" s="123"/>
      <c r="N4" s="123"/>
      <c r="O4" s="123"/>
      <c r="P4" s="123"/>
      <c r="Q4" s="123"/>
      <c r="R4" s="123"/>
      <c r="S4" s="123"/>
    </row>
    <row r="5" spans="5:27" ht="18">
      <c r="E5" s="123"/>
      <c r="F5" s="123"/>
      <c r="G5" s="123">
        <f>0.1412-0.006</f>
        <v>0.13519999999999999</v>
      </c>
      <c r="H5" s="123" t="s">
        <v>2</v>
      </c>
      <c r="I5" s="51" t="s">
        <v>3</v>
      </c>
      <c r="J5" s="51" t="s">
        <v>4</v>
      </c>
      <c r="K5" s="51" t="s">
        <v>5</v>
      </c>
      <c r="L5" s="52" t="s">
        <v>6</v>
      </c>
      <c r="M5" s="123"/>
      <c r="N5" s="123">
        <f>0.134-0.003</f>
        <v>0.13100000000000001</v>
      </c>
      <c r="O5" s="123" t="s">
        <v>2</v>
      </c>
      <c r="P5" s="123" t="s">
        <v>3</v>
      </c>
      <c r="Q5" s="123" t="s">
        <v>4</v>
      </c>
      <c r="R5" s="123" t="s">
        <v>5</v>
      </c>
      <c r="S5" s="2" t="s">
        <v>6</v>
      </c>
    </row>
    <row r="6" spans="5:27">
      <c r="E6" s="123"/>
      <c r="F6" s="123"/>
      <c r="G6" s="123"/>
      <c r="H6" s="123">
        <v>20</v>
      </c>
      <c r="I6" s="51">
        <v>100</v>
      </c>
      <c r="J6" s="125">
        <v>25.116355724117501</v>
      </c>
      <c r="K6" s="124">
        <v>40.74348379632734</v>
      </c>
      <c r="L6" s="51">
        <f>K6-J6</f>
        <v>15.627128072209839</v>
      </c>
      <c r="M6" s="145"/>
      <c r="N6" s="123"/>
      <c r="O6" s="123">
        <v>20</v>
      </c>
      <c r="P6" s="123">
        <v>100</v>
      </c>
      <c r="Q6" s="127">
        <v>24.771673218707626</v>
      </c>
      <c r="R6" s="126">
        <v>39.089920466537507</v>
      </c>
      <c r="S6" s="123">
        <f>R6-Q6</f>
        <v>14.318247247829881</v>
      </c>
      <c r="T6" s="145">
        <v>15.627128072209839</v>
      </c>
      <c r="U6">
        <f>_xlfn.STDEV.S(S6:T6)</f>
        <v>0.92551850668410718</v>
      </c>
    </row>
    <row r="7" spans="5:27">
      <c r="E7" s="123" t="s">
        <v>7</v>
      </c>
      <c r="F7" s="123"/>
      <c r="G7" s="1" t="s">
        <v>33</v>
      </c>
      <c r="H7" s="123"/>
      <c r="I7" s="51"/>
      <c r="J7" s="51"/>
      <c r="K7" s="51"/>
      <c r="L7" s="51"/>
      <c r="M7" s="123"/>
      <c r="N7" s="123"/>
      <c r="O7" s="123"/>
      <c r="P7" s="123"/>
      <c r="Q7" s="123"/>
      <c r="R7" s="123"/>
      <c r="S7" s="123"/>
    </row>
    <row r="8" spans="5:27" ht="18">
      <c r="E8" s="123"/>
      <c r="F8" s="123"/>
      <c r="G8" s="123">
        <f>0.0904-0.0289</f>
        <v>6.1499999999999999E-2</v>
      </c>
      <c r="H8" s="123" t="s">
        <v>2</v>
      </c>
      <c r="I8" s="51" t="s">
        <v>3</v>
      </c>
      <c r="J8" s="51" t="s">
        <v>4</v>
      </c>
      <c r="K8" s="51" t="s">
        <v>5</v>
      </c>
      <c r="L8" s="52" t="s">
        <v>6</v>
      </c>
      <c r="M8" s="123"/>
      <c r="N8" s="123">
        <f>0.0749-0.0152</f>
        <v>5.9699999999999996E-2</v>
      </c>
      <c r="O8" s="123" t="s">
        <v>2</v>
      </c>
      <c r="P8" s="123" t="s">
        <v>3</v>
      </c>
      <c r="Q8" s="123" t="s">
        <v>4</v>
      </c>
      <c r="R8" s="123" t="s">
        <v>5</v>
      </c>
      <c r="S8" s="2" t="s">
        <v>6</v>
      </c>
      <c r="U8" s="131">
        <f>0.0747-0.0067</f>
        <v>6.8000000000000005E-2</v>
      </c>
      <c r="V8" s="131" t="s">
        <v>2</v>
      </c>
      <c r="W8" s="131" t="s">
        <v>3</v>
      </c>
      <c r="X8" s="131" t="s">
        <v>4</v>
      </c>
      <c r="Y8" s="131" t="s">
        <v>5</v>
      </c>
      <c r="Z8" s="2" t="s">
        <v>6</v>
      </c>
    </row>
    <row r="9" spans="5:27">
      <c r="E9" s="123"/>
      <c r="F9" s="123"/>
      <c r="G9" s="123"/>
      <c r="H9" s="123">
        <v>20</v>
      </c>
      <c r="I9" s="51">
        <v>100</v>
      </c>
      <c r="J9" s="129">
        <v>25.110674656073719</v>
      </c>
      <c r="K9" s="128">
        <v>34.710375798367004</v>
      </c>
      <c r="L9" s="51">
        <f>K9-J9</f>
        <v>9.5997011422932843</v>
      </c>
      <c r="M9" s="147"/>
      <c r="N9" s="123"/>
      <c r="O9" s="123">
        <v>20</v>
      </c>
      <c r="P9" s="123">
        <v>100</v>
      </c>
      <c r="Q9" s="131">
        <v>25.456567880902764</v>
      </c>
      <c r="R9" s="130">
        <v>33.135509230822876</v>
      </c>
      <c r="S9" s="123">
        <f>R9-Q9</f>
        <v>7.6789413499201125</v>
      </c>
      <c r="T9" s="147"/>
      <c r="U9" s="131"/>
      <c r="V9" s="131">
        <v>20</v>
      </c>
      <c r="W9" s="131">
        <v>100</v>
      </c>
      <c r="X9" s="133">
        <v>25.446695861023411</v>
      </c>
      <c r="Y9" s="132">
        <v>34.13109312242824</v>
      </c>
      <c r="Z9" s="131">
        <f>Y9-X9</f>
        <v>8.684397261404829</v>
      </c>
      <c r="AA9" s="147"/>
    </row>
    <row r="10" spans="5:27">
      <c r="E10" s="123" t="s">
        <v>7</v>
      </c>
      <c r="F10" s="123"/>
      <c r="G10" s="1" t="s">
        <v>34</v>
      </c>
      <c r="H10" s="123"/>
      <c r="I10" s="51"/>
      <c r="J10" s="51"/>
      <c r="K10" s="51"/>
      <c r="L10" s="51"/>
      <c r="M10" s="123"/>
      <c r="N10" s="123"/>
      <c r="O10" s="123"/>
      <c r="P10" s="123"/>
      <c r="Q10" s="123"/>
      <c r="R10" s="123"/>
      <c r="S10" s="123"/>
    </row>
    <row r="11" spans="5:27" ht="18">
      <c r="E11" s="123"/>
      <c r="F11" s="123"/>
      <c r="G11" s="123">
        <f>0.0665-0.0015</f>
        <v>6.5000000000000002E-2</v>
      </c>
      <c r="H11" s="123" t="s">
        <v>2</v>
      </c>
      <c r="I11" s="51" t="s">
        <v>3</v>
      </c>
      <c r="J11" s="51" t="s">
        <v>4</v>
      </c>
      <c r="K11" s="51" t="s">
        <v>5</v>
      </c>
      <c r="L11" s="52" t="s">
        <v>6</v>
      </c>
      <c r="M11" s="123"/>
      <c r="N11" s="123">
        <f>0.0592</f>
        <v>5.9200000000000003E-2</v>
      </c>
      <c r="O11" s="123" t="s">
        <v>2</v>
      </c>
      <c r="P11" s="123" t="s">
        <v>3</v>
      </c>
      <c r="Q11" s="123" t="s">
        <v>4</v>
      </c>
      <c r="R11" s="123" t="s">
        <v>5</v>
      </c>
      <c r="S11" s="2" t="s">
        <v>6</v>
      </c>
      <c r="U11" s="137">
        <f>0.0569</f>
        <v>5.6899999999999999E-2</v>
      </c>
      <c r="V11" s="137" t="s">
        <v>2</v>
      </c>
      <c r="W11" s="137" t="s">
        <v>3</v>
      </c>
      <c r="X11" s="137" t="s">
        <v>4</v>
      </c>
      <c r="Y11" s="137" t="s">
        <v>5</v>
      </c>
      <c r="Z11" s="2" t="s">
        <v>6</v>
      </c>
    </row>
    <row r="12" spans="5:27">
      <c r="E12" s="123"/>
      <c r="F12" s="123"/>
      <c r="G12" s="123"/>
      <c r="H12" s="123">
        <v>20</v>
      </c>
      <c r="I12" s="51">
        <v>100</v>
      </c>
      <c r="J12" s="135">
        <v>25.440549131664593</v>
      </c>
      <c r="K12" s="134">
        <v>30.050503018528413</v>
      </c>
      <c r="L12" s="51">
        <f>K12-J12</f>
        <v>4.6099538868638206</v>
      </c>
      <c r="M12" s="123"/>
      <c r="N12" s="123"/>
      <c r="O12" s="123">
        <v>20</v>
      </c>
      <c r="P12" s="123">
        <v>100</v>
      </c>
      <c r="Q12" s="137">
        <v>25.956595001017742</v>
      </c>
      <c r="R12" s="136">
        <v>28.6751257583574</v>
      </c>
      <c r="S12" s="123">
        <f>R12-Q12</f>
        <v>2.7185307573396571</v>
      </c>
      <c r="U12" s="137"/>
      <c r="V12" s="137">
        <v>20</v>
      </c>
      <c r="W12" s="137">
        <v>100</v>
      </c>
      <c r="X12" s="139">
        <v>26.288611518657884</v>
      </c>
      <c r="Y12" s="138">
        <v>27.921778882847953</v>
      </c>
      <c r="Z12" s="137">
        <f>Y12-X12</f>
        <v>1.6331673641900686</v>
      </c>
    </row>
    <row r="13" spans="5:27">
      <c r="E13" s="123" t="s">
        <v>7</v>
      </c>
      <c r="F13" s="123"/>
      <c r="G13" s="1" t="s">
        <v>35</v>
      </c>
      <c r="H13" s="123"/>
      <c r="I13" s="51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spans="5:27" ht="18">
      <c r="E14" s="123"/>
      <c r="F14" s="123"/>
      <c r="G14" s="123">
        <f>0.0504-0.0004</f>
        <v>0.05</v>
      </c>
      <c r="H14" s="123" t="s">
        <v>2</v>
      </c>
      <c r="I14" s="51" t="s">
        <v>3</v>
      </c>
      <c r="J14" s="51" t="s">
        <v>4</v>
      </c>
      <c r="K14" s="51" t="s">
        <v>5</v>
      </c>
      <c r="L14" s="52" t="s">
        <v>6</v>
      </c>
      <c r="M14" s="123"/>
      <c r="N14" s="123">
        <f>0.0599-0.001</f>
        <v>5.8900000000000001E-2</v>
      </c>
      <c r="O14" s="123" t="s">
        <v>2</v>
      </c>
      <c r="P14" s="123" t="s">
        <v>3</v>
      </c>
      <c r="Q14" s="123" t="s">
        <v>4</v>
      </c>
      <c r="R14" s="123" t="s">
        <v>5</v>
      </c>
      <c r="S14" s="2" t="s">
        <v>6</v>
      </c>
    </row>
    <row r="15" spans="5:27">
      <c r="E15" s="123"/>
      <c r="F15" s="123"/>
      <c r="G15" s="123"/>
      <c r="H15" s="123">
        <v>20</v>
      </c>
      <c r="I15" s="51">
        <v>100</v>
      </c>
      <c r="J15" s="141">
        <v>26.182347606560452</v>
      </c>
      <c r="K15" s="140">
        <v>26.983936994310437</v>
      </c>
      <c r="L15" s="51">
        <f>K15-J15</f>
        <v>0.80158938774998489</v>
      </c>
      <c r="M15" s="123"/>
      <c r="N15" s="123"/>
      <c r="O15" s="123">
        <v>20</v>
      </c>
      <c r="P15" s="123">
        <v>100</v>
      </c>
      <c r="Q15" s="143">
        <v>26.311428923095988</v>
      </c>
      <c r="R15" s="142">
        <v>30.396768772409498</v>
      </c>
      <c r="S15" s="123">
        <f>R15-Q15</f>
        <v>4.0853398493135096</v>
      </c>
    </row>
    <row r="19" spans="5:20">
      <c r="E19" s="21">
        <v>42157</v>
      </c>
      <c r="F19" s="143"/>
      <c r="G19" s="143"/>
      <c r="H19" s="143">
        <f>N24/20*100</f>
        <v>0.29399999999999993</v>
      </c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</row>
    <row r="20" spans="5:20">
      <c r="E20" s="143" t="s">
        <v>0</v>
      </c>
      <c r="F20" s="143"/>
      <c r="G20" s="1" t="s">
        <v>32</v>
      </c>
      <c r="H20" s="143"/>
      <c r="I20" s="51"/>
      <c r="J20" s="143"/>
      <c r="K20" s="51"/>
      <c r="L20" s="51"/>
      <c r="M20" s="143"/>
      <c r="N20" s="143"/>
      <c r="O20" s="143"/>
      <c r="P20" s="143"/>
      <c r="Q20" s="143"/>
      <c r="R20" s="143"/>
      <c r="S20" s="143"/>
    </row>
    <row r="21" spans="5:20" ht="18">
      <c r="E21" s="143"/>
      <c r="F21" s="143"/>
      <c r="G21" s="143">
        <f>0.1417-0.0103</f>
        <v>0.13139999999999999</v>
      </c>
      <c r="H21" s="143" t="s">
        <v>2</v>
      </c>
      <c r="I21" s="51" t="s">
        <v>3</v>
      </c>
      <c r="J21" s="51" t="s">
        <v>4</v>
      </c>
      <c r="K21" s="51" t="s">
        <v>5</v>
      </c>
      <c r="L21" s="52" t="s">
        <v>6</v>
      </c>
      <c r="M21" s="143"/>
      <c r="N21" s="143"/>
      <c r="O21" s="143"/>
      <c r="P21" s="143"/>
      <c r="Q21" s="143"/>
      <c r="R21" s="143"/>
      <c r="S21" s="2"/>
    </row>
    <row r="22" spans="5:20">
      <c r="E22" s="143"/>
      <c r="F22" s="143"/>
      <c r="G22" s="143"/>
      <c r="H22" s="143">
        <v>20</v>
      </c>
      <c r="I22" s="51">
        <v>100</v>
      </c>
      <c r="J22" s="145">
        <v>25.127997256994085</v>
      </c>
      <c r="K22" s="144">
        <v>40.584972684679791</v>
      </c>
      <c r="L22" s="51">
        <f>K22-J22</f>
        <v>15.456975427685705</v>
      </c>
      <c r="M22" s="143"/>
      <c r="N22" s="143"/>
      <c r="O22" s="143"/>
      <c r="P22" s="143"/>
      <c r="Q22" s="143"/>
      <c r="R22" s="143"/>
      <c r="S22" s="143"/>
    </row>
    <row r="23" spans="5:20">
      <c r="E23" s="143" t="s">
        <v>7</v>
      </c>
      <c r="F23" s="143"/>
      <c r="G23" s="1" t="s">
        <v>33</v>
      </c>
      <c r="H23" s="143"/>
      <c r="I23" s="51"/>
      <c r="J23" s="51"/>
      <c r="K23" s="51"/>
      <c r="L23" s="51"/>
      <c r="M23" s="143"/>
      <c r="N23" s="143"/>
      <c r="O23" s="143"/>
      <c r="P23" s="143"/>
      <c r="Q23" s="143"/>
      <c r="R23" s="143"/>
      <c r="S23" s="143"/>
    </row>
    <row r="24" spans="5:20" ht="18">
      <c r="E24" s="143"/>
      <c r="F24" s="143"/>
      <c r="G24" s="143">
        <f>0.0654-0.0012</f>
        <v>6.4199999999999993E-2</v>
      </c>
      <c r="H24" s="143" t="s">
        <v>2</v>
      </c>
      <c r="I24" s="51" t="s">
        <v>3</v>
      </c>
      <c r="J24" s="51" t="s">
        <v>4</v>
      </c>
      <c r="K24" s="51" t="s">
        <v>5</v>
      </c>
      <c r="L24" s="52" t="s">
        <v>6</v>
      </c>
      <c r="M24" s="143"/>
      <c r="N24" s="143">
        <f>0.0817-0.0229</f>
        <v>5.8799999999999991E-2</v>
      </c>
      <c r="O24" s="143" t="s">
        <v>2</v>
      </c>
      <c r="P24" s="143" t="s">
        <v>3</v>
      </c>
      <c r="Q24" s="143" t="s">
        <v>4</v>
      </c>
      <c r="R24" s="143" t="s">
        <v>5</v>
      </c>
      <c r="S24" s="2" t="s">
        <v>6</v>
      </c>
    </row>
    <row r="25" spans="5:20">
      <c r="E25" s="143"/>
      <c r="F25" s="143"/>
      <c r="G25" s="143"/>
      <c r="H25" s="143">
        <v>20</v>
      </c>
      <c r="I25" s="51">
        <v>100</v>
      </c>
      <c r="J25" s="147">
        <v>25.117007649958584</v>
      </c>
      <c r="K25" s="146">
        <v>31.940342899581363</v>
      </c>
      <c r="L25" s="51">
        <f>K25-J25</f>
        <v>6.8233352496227795</v>
      </c>
      <c r="M25" s="176"/>
      <c r="N25" s="143"/>
      <c r="O25" s="143">
        <v>20</v>
      </c>
      <c r="P25" s="143">
        <v>100</v>
      </c>
      <c r="Q25" s="149">
        <v>25.455543426009616</v>
      </c>
      <c r="R25" s="148">
        <v>31.091721719009985</v>
      </c>
      <c r="S25" s="143">
        <f>R25-Q25</f>
        <v>5.6361782930003699</v>
      </c>
      <c r="T25" s="229"/>
    </row>
    <row r="26" spans="5:20">
      <c r="E26" s="143" t="s">
        <v>7</v>
      </c>
      <c r="F26" s="143"/>
      <c r="G26" s="1" t="s">
        <v>34</v>
      </c>
      <c r="H26" s="143"/>
      <c r="I26" s="51"/>
      <c r="J26" s="51"/>
      <c r="K26" s="51"/>
      <c r="L26" s="51"/>
      <c r="M26" s="143"/>
      <c r="N26" s="143">
        <f>N27*5</f>
        <v>0.22849999999999998</v>
      </c>
      <c r="O26" s="143"/>
      <c r="P26" s="143"/>
      <c r="Q26" s="143"/>
      <c r="R26" s="143"/>
      <c r="S26" s="143"/>
    </row>
    <row r="27" spans="5:20" ht="18">
      <c r="E27" s="143"/>
      <c r="F27" s="143"/>
      <c r="G27" s="143">
        <f>0.073-0.0215</f>
        <v>5.1499999999999997E-2</v>
      </c>
      <c r="H27" s="143" t="s">
        <v>2</v>
      </c>
      <c r="I27" s="51" t="s">
        <v>3</v>
      </c>
      <c r="J27" s="51" t="s">
        <v>4</v>
      </c>
      <c r="K27" s="51" t="s">
        <v>5</v>
      </c>
      <c r="L27" s="52" t="s">
        <v>6</v>
      </c>
      <c r="M27" s="143"/>
      <c r="N27" s="143">
        <f>0.0525-0.0068</f>
        <v>4.5699999999999998E-2</v>
      </c>
      <c r="O27" s="143" t="s">
        <v>2</v>
      </c>
      <c r="P27" s="143" t="s">
        <v>3</v>
      </c>
      <c r="Q27" s="143" t="s">
        <v>4</v>
      </c>
      <c r="R27" s="143" t="s">
        <v>5</v>
      </c>
      <c r="S27" s="2" t="s">
        <v>6</v>
      </c>
    </row>
    <row r="28" spans="5:20">
      <c r="E28" s="143"/>
      <c r="F28" s="143"/>
      <c r="G28" s="143"/>
      <c r="H28" s="143">
        <v>20</v>
      </c>
      <c r="I28" s="51">
        <v>100</v>
      </c>
      <c r="J28" s="151">
        <v>25.189371418319418</v>
      </c>
      <c r="K28" s="150">
        <v>27.859473398892494</v>
      </c>
      <c r="L28" s="51">
        <f>K28-J28</f>
        <v>2.6701019805730759</v>
      </c>
      <c r="M28" s="153"/>
      <c r="N28" s="143"/>
      <c r="O28" s="143">
        <v>20</v>
      </c>
      <c r="P28" s="143">
        <v>100</v>
      </c>
      <c r="Q28" s="153">
        <v>25.121012337268134</v>
      </c>
      <c r="R28" s="152">
        <v>26.671850780954994</v>
      </c>
      <c r="S28" s="143">
        <f>R28-Q28</f>
        <v>1.5508384436868603</v>
      </c>
      <c r="T28" s="229"/>
    </row>
    <row r="29" spans="5:20">
      <c r="E29" s="153" t="s">
        <v>7</v>
      </c>
      <c r="F29" s="153"/>
      <c r="G29" s="1" t="s">
        <v>35</v>
      </c>
      <c r="H29" s="153"/>
      <c r="I29" s="51"/>
      <c r="J29" s="153"/>
      <c r="K29" s="153"/>
      <c r="L29" s="153"/>
      <c r="M29" s="153"/>
      <c r="N29" s="153"/>
      <c r="O29" s="153"/>
      <c r="P29" s="153"/>
      <c r="Q29" s="153"/>
      <c r="R29" s="153"/>
      <c r="S29" s="153"/>
    </row>
    <row r="30" spans="5:20" ht="18">
      <c r="E30" s="153"/>
      <c r="F30" s="153"/>
      <c r="G30" s="153">
        <f>0.0564-0.007</f>
        <v>4.9399999999999999E-2</v>
      </c>
      <c r="H30" s="153" t="s">
        <v>2</v>
      </c>
      <c r="I30" s="51" t="s">
        <v>3</v>
      </c>
      <c r="J30" s="51" t="s">
        <v>4</v>
      </c>
      <c r="K30" s="51" t="s">
        <v>5</v>
      </c>
      <c r="L30" s="52" t="s">
        <v>6</v>
      </c>
      <c r="M30" s="153"/>
      <c r="N30" s="153">
        <f>0.061-0.0112</f>
        <v>4.9799999999999997E-2</v>
      </c>
      <c r="O30" s="153" t="s">
        <v>2</v>
      </c>
      <c r="P30" s="153" t="s">
        <v>3</v>
      </c>
      <c r="Q30" s="153" t="s">
        <v>4</v>
      </c>
      <c r="R30" s="153" t="s">
        <v>5</v>
      </c>
      <c r="S30" s="2" t="s">
        <v>6</v>
      </c>
    </row>
    <row r="31" spans="5:20">
      <c r="E31" s="153"/>
      <c r="F31" s="153"/>
      <c r="G31" s="153"/>
      <c r="H31" s="153">
        <v>20</v>
      </c>
      <c r="I31" s="51">
        <v>100</v>
      </c>
      <c r="J31" s="155">
        <v>25.122874982528387</v>
      </c>
      <c r="K31" s="154">
        <v>26.990642517247345</v>
      </c>
      <c r="L31" s="51">
        <f>K31-J31</f>
        <v>1.8677675347189577</v>
      </c>
      <c r="M31" s="153"/>
      <c r="N31" s="153"/>
      <c r="O31" s="153">
        <v>20</v>
      </c>
      <c r="P31" s="153">
        <v>100</v>
      </c>
      <c r="Q31" s="157">
        <v>25.122036792161285</v>
      </c>
      <c r="R31" s="156">
        <v>26.309286881046717</v>
      </c>
      <c r="S31" s="153">
        <f>R31-Q31</f>
        <v>1.1872500888854312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Z37"/>
  <sheetViews>
    <sheetView workbookViewId="0">
      <selection activeCell="M14" sqref="M14"/>
    </sheetView>
  </sheetViews>
  <sheetFormatPr defaultRowHeight="15"/>
  <sheetData>
    <row r="3" spans="5:26">
      <c r="E3" s="21">
        <v>42166</v>
      </c>
    </row>
    <row r="4" spans="5:26">
      <c r="E4" s="157" t="s">
        <v>0</v>
      </c>
      <c r="F4" s="157"/>
      <c r="G4" s="1" t="s">
        <v>36</v>
      </c>
      <c r="H4" s="157"/>
      <c r="I4" s="51">
        <f>N5/20*120</f>
        <v>0.84119999999999995</v>
      </c>
      <c r="J4" s="157"/>
      <c r="K4" s="51"/>
      <c r="L4" s="51"/>
      <c r="M4" s="157"/>
      <c r="N4" s="157"/>
      <c r="O4" s="157"/>
      <c r="P4" s="157"/>
      <c r="Q4" s="157"/>
      <c r="R4" s="157"/>
      <c r="S4" s="157"/>
    </row>
    <row r="5" spans="5:26" ht="18">
      <c r="E5" s="157"/>
      <c r="F5" s="157"/>
      <c r="G5" s="157">
        <f>0.1249-0.0032</f>
        <v>0.1217</v>
      </c>
      <c r="H5" s="157" t="s">
        <v>2</v>
      </c>
      <c r="I5" s="51" t="s">
        <v>3</v>
      </c>
      <c r="J5" s="51" t="s">
        <v>4</v>
      </c>
      <c r="K5" s="51" t="s">
        <v>5</v>
      </c>
      <c r="L5" s="52" t="s">
        <v>6</v>
      </c>
      <c r="M5" s="157"/>
      <c r="N5" s="157">
        <f>0.1588-0.0186</f>
        <v>0.14019999999999999</v>
      </c>
      <c r="O5" s="157" t="s">
        <v>2</v>
      </c>
      <c r="P5" s="51" t="s">
        <v>3</v>
      </c>
      <c r="Q5" s="51" t="s">
        <v>4</v>
      </c>
      <c r="R5" s="51" t="s">
        <v>5</v>
      </c>
      <c r="S5" s="52" t="s">
        <v>6</v>
      </c>
    </row>
    <row r="6" spans="5:26">
      <c r="E6" s="157"/>
      <c r="F6" s="157"/>
      <c r="G6" s="157"/>
      <c r="H6" s="157">
        <v>20</v>
      </c>
      <c r="I6" s="51">
        <v>100</v>
      </c>
      <c r="J6" s="159">
        <v>24.078210388315352</v>
      </c>
      <c r="K6" s="158">
        <v>38.908591950451857</v>
      </c>
      <c r="L6" s="51">
        <f>K6-J6</f>
        <v>14.830381562136505</v>
      </c>
      <c r="M6" s="174"/>
      <c r="N6" s="157"/>
      <c r="O6" s="157">
        <v>20</v>
      </c>
      <c r="P6" s="51">
        <v>100</v>
      </c>
      <c r="Q6" s="161">
        <v>24.427363242348999</v>
      </c>
      <c r="R6" s="160">
        <v>39.063377771578899</v>
      </c>
      <c r="S6" s="51">
        <f>R6-Q6</f>
        <v>14.6360145292299</v>
      </c>
      <c r="T6" s="174"/>
    </row>
    <row r="7" spans="5:26">
      <c r="E7" s="157" t="s">
        <v>7</v>
      </c>
      <c r="F7" s="157"/>
      <c r="G7" s="1" t="s">
        <v>37</v>
      </c>
      <c r="H7" s="157"/>
      <c r="I7" s="51"/>
      <c r="J7" s="51"/>
      <c r="K7" s="51"/>
      <c r="L7" s="51"/>
      <c r="M7" s="157"/>
      <c r="N7" s="157"/>
      <c r="O7" s="157"/>
      <c r="P7" s="157"/>
      <c r="Q7" s="157"/>
      <c r="R7" s="157"/>
      <c r="S7" s="157"/>
    </row>
    <row r="8" spans="5:26" ht="18">
      <c r="E8" s="157"/>
      <c r="F8" s="157"/>
      <c r="G8" s="157">
        <f>0.0827-0.0189</f>
        <v>6.3799999999999996E-2</v>
      </c>
      <c r="H8" s="157" t="s">
        <v>2</v>
      </c>
      <c r="I8" s="51" t="s">
        <v>3</v>
      </c>
      <c r="J8" s="51" t="s">
        <v>4</v>
      </c>
      <c r="K8" s="51" t="s">
        <v>5</v>
      </c>
      <c r="L8" s="52" t="s">
        <v>6</v>
      </c>
      <c r="M8" s="157"/>
      <c r="N8" s="164">
        <f>0.0776-0.015</f>
        <v>6.2600000000000003E-2</v>
      </c>
      <c r="O8" s="164" t="s">
        <v>2</v>
      </c>
      <c r="P8" s="164" t="s">
        <v>3</v>
      </c>
      <c r="Q8" s="164" t="s">
        <v>4</v>
      </c>
      <c r="R8" s="164" t="s">
        <v>5</v>
      </c>
      <c r="S8" s="2" t="s">
        <v>6</v>
      </c>
      <c r="U8" s="166"/>
      <c r="V8" s="166"/>
      <c r="W8" s="166"/>
      <c r="X8" s="166"/>
      <c r="Y8" s="166"/>
      <c r="Z8" s="2"/>
    </row>
    <row r="9" spans="5:26">
      <c r="E9" s="157"/>
      <c r="F9" s="157"/>
      <c r="G9" s="157"/>
      <c r="H9" s="157">
        <v>20</v>
      </c>
      <c r="I9" s="51">
        <v>100</v>
      </c>
      <c r="J9" s="163">
        <v>24.926365907571668</v>
      </c>
      <c r="K9" s="162">
        <v>31.090883528642856</v>
      </c>
      <c r="L9" s="51">
        <f>K9-J9</f>
        <v>6.1645176210711874</v>
      </c>
      <c r="M9" s="176"/>
      <c r="N9" s="164"/>
      <c r="O9" s="164">
        <v>20</v>
      </c>
      <c r="P9" s="164">
        <v>100</v>
      </c>
      <c r="Q9" s="166">
        <v>24.059370804391602</v>
      </c>
      <c r="R9" s="165">
        <v>30.934196170222499</v>
      </c>
      <c r="S9" s="164">
        <f>R9-Q9</f>
        <v>6.8748253658308975</v>
      </c>
      <c r="T9" s="176"/>
      <c r="U9" s="166"/>
      <c r="V9" s="166"/>
      <c r="W9" s="166"/>
      <c r="X9" s="168"/>
      <c r="Y9" s="167"/>
      <c r="Z9" s="166"/>
    </row>
    <row r="10" spans="5:26">
      <c r="E10" s="157" t="s">
        <v>7</v>
      </c>
      <c r="F10" s="157"/>
      <c r="G10" s="1" t="s">
        <v>38</v>
      </c>
      <c r="H10" s="157"/>
      <c r="I10" s="51"/>
      <c r="J10" s="51"/>
      <c r="K10" s="51"/>
      <c r="L10" s="51"/>
      <c r="M10" s="157"/>
      <c r="N10" s="157"/>
      <c r="O10" s="157"/>
      <c r="P10" s="157"/>
      <c r="Q10" s="157"/>
      <c r="R10" s="157"/>
      <c r="S10" s="157"/>
    </row>
    <row r="11" spans="5:26" ht="18">
      <c r="E11" s="157"/>
      <c r="F11" s="157"/>
      <c r="G11" s="157">
        <f>0.0741-0.0315</f>
        <v>4.2599999999999999E-2</v>
      </c>
      <c r="H11" s="157" t="s">
        <v>2</v>
      </c>
      <c r="I11" s="51" t="s">
        <v>3</v>
      </c>
      <c r="J11" s="51" t="s">
        <v>4</v>
      </c>
      <c r="K11" s="51" t="s">
        <v>5</v>
      </c>
      <c r="L11" s="52" t="s">
        <v>6</v>
      </c>
      <c r="M11" s="157"/>
      <c r="N11" s="157">
        <f>0.0525-0.0068</f>
        <v>4.5699999999999998E-2</v>
      </c>
      <c r="O11" s="157" t="s">
        <v>2</v>
      </c>
      <c r="P11" s="157" t="s">
        <v>3</v>
      </c>
      <c r="Q11" s="157" t="s">
        <v>4</v>
      </c>
      <c r="R11" s="157" t="s">
        <v>5</v>
      </c>
      <c r="S11" s="2" t="s">
        <v>6</v>
      </c>
    </row>
    <row r="12" spans="5:26">
      <c r="E12" s="157"/>
      <c r="F12" s="157"/>
      <c r="G12" s="157"/>
      <c r="H12" s="157">
        <v>20</v>
      </c>
      <c r="I12" s="51">
        <v>100</v>
      </c>
      <c r="J12" s="170">
        <v>25.291910039896372</v>
      </c>
      <c r="K12" s="169">
        <v>26.325585027073934</v>
      </c>
      <c r="L12" s="51">
        <f>K12-J12</f>
        <v>1.0336749871775623</v>
      </c>
      <c r="M12" s="157"/>
      <c r="N12" s="157"/>
      <c r="O12" s="157">
        <v>20</v>
      </c>
      <c r="P12" s="157">
        <v>100</v>
      </c>
      <c r="Q12" s="172">
        <v>25.29451774326073</v>
      </c>
      <c r="R12" s="171">
        <v>27.376675747434831</v>
      </c>
      <c r="S12" s="157">
        <f>R12-Q12</f>
        <v>2.0821580041741008</v>
      </c>
      <c r="T12" s="183"/>
    </row>
    <row r="13" spans="5:26">
      <c r="E13" s="157" t="s">
        <v>7</v>
      </c>
      <c r="F13" s="157"/>
      <c r="G13" s="1" t="s">
        <v>39</v>
      </c>
      <c r="H13" s="157"/>
      <c r="I13" s="51"/>
      <c r="J13" s="157"/>
      <c r="K13" s="157"/>
      <c r="L13" s="157"/>
      <c r="M13" s="157"/>
      <c r="N13" s="157"/>
      <c r="O13" s="157"/>
      <c r="P13" s="157"/>
      <c r="Q13" s="157"/>
      <c r="R13" s="157"/>
      <c r="S13" s="157"/>
    </row>
    <row r="14" spans="5:26" ht="18">
      <c r="E14" s="157"/>
      <c r="F14" s="157"/>
      <c r="G14" s="157">
        <f>0.0564-0.007</f>
        <v>4.9399999999999999E-2</v>
      </c>
      <c r="H14" s="157" t="s">
        <v>2</v>
      </c>
      <c r="I14" s="51" t="s">
        <v>3</v>
      </c>
      <c r="J14" s="51" t="s">
        <v>4</v>
      </c>
      <c r="K14" s="51" t="s">
        <v>5</v>
      </c>
      <c r="L14" s="52" t="s">
        <v>6</v>
      </c>
      <c r="M14" s="157"/>
      <c r="N14" s="157">
        <f>0.061-0.0112</f>
        <v>4.9799999999999997E-2</v>
      </c>
      <c r="O14" s="157" t="s">
        <v>2</v>
      </c>
      <c r="P14" s="157" t="s">
        <v>3</v>
      </c>
      <c r="Q14" s="157" t="s">
        <v>4</v>
      </c>
      <c r="R14" s="157" t="s">
        <v>5</v>
      </c>
      <c r="S14" s="2" t="s">
        <v>6</v>
      </c>
    </row>
    <row r="15" spans="5:26">
      <c r="E15" s="157"/>
      <c r="F15" s="157"/>
      <c r="G15" s="157"/>
      <c r="H15" s="157">
        <v>20</v>
      </c>
      <c r="I15" s="51">
        <v>100</v>
      </c>
      <c r="J15" s="157"/>
      <c r="K15" s="157"/>
      <c r="L15" s="51">
        <f>K15-J15</f>
        <v>0</v>
      </c>
      <c r="M15" s="157"/>
      <c r="N15" s="157"/>
      <c r="O15" s="157">
        <v>20</v>
      </c>
      <c r="P15" s="157">
        <v>100</v>
      </c>
      <c r="Q15" s="157"/>
      <c r="R15" s="157"/>
      <c r="S15" s="157">
        <f>R15-Q15</f>
        <v>0</v>
      </c>
    </row>
    <row r="19" spans="5:20">
      <c r="E19" s="21">
        <v>42167</v>
      </c>
    </row>
    <row r="20" spans="5:20">
      <c r="E20" s="172" t="s">
        <v>0</v>
      </c>
      <c r="F20" s="172"/>
      <c r="G20" s="1" t="s">
        <v>36</v>
      </c>
      <c r="H20" s="172"/>
      <c r="I20" s="51" t="e">
        <f>G27/Plot!O29033620*120</f>
        <v>#NAME?</v>
      </c>
      <c r="J20" s="172"/>
      <c r="K20" s="51"/>
      <c r="L20" s="51"/>
      <c r="M20" s="172"/>
      <c r="N20" s="172"/>
      <c r="O20" s="172"/>
      <c r="P20" s="172"/>
      <c r="Q20" s="172"/>
      <c r="R20" s="172"/>
      <c r="S20" s="172"/>
    </row>
    <row r="21" spans="5:20" ht="18">
      <c r="E21" s="172"/>
      <c r="F21" s="172"/>
      <c r="G21" s="172">
        <f>0.146-0.0071</f>
        <v>0.1389</v>
      </c>
      <c r="H21" s="172" t="s">
        <v>2</v>
      </c>
      <c r="I21" s="51" t="s">
        <v>3</v>
      </c>
      <c r="J21" s="51" t="s">
        <v>4</v>
      </c>
      <c r="K21" s="51" t="s">
        <v>5</v>
      </c>
      <c r="L21" s="52" t="s">
        <v>6</v>
      </c>
      <c r="M21" s="172"/>
      <c r="N21" s="172"/>
      <c r="O21" s="172"/>
      <c r="P21" s="51"/>
      <c r="Q21" s="51"/>
      <c r="R21" s="51"/>
      <c r="S21" s="52"/>
    </row>
    <row r="22" spans="5:20">
      <c r="E22" s="172"/>
      <c r="F22" s="172"/>
      <c r="G22" s="172"/>
      <c r="H22" s="172">
        <v>20</v>
      </c>
      <c r="I22" s="51">
        <v>100</v>
      </c>
      <c r="J22" s="174">
        <v>25.081896786802815</v>
      </c>
      <c r="K22" s="173">
        <v>39.94394331836363</v>
      </c>
      <c r="L22" s="51">
        <f>K22-J22</f>
        <v>14.862046531560814</v>
      </c>
      <c r="M22" s="172">
        <f>G24*6</f>
        <v>0.36719999999999997</v>
      </c>
      <c r="N22" s="172"/>
      <c r="O22" s="172"/>
      <c r="P22" s="51"/>
      <c r="Q22" s="172"/>
      <c r="R22" s="172"/>
      <c r="S22" s="51"/>
    </row>
    <row r="23" spans="5:20">
      <c r="E23" s="172" t="s">
        <v>7</v>
      </c>
      <c r="F23" s="172"/>
      <c r="G23" s="1" t="s">
        <v>37</v>
      </c>
      <c r="H23" s="172"/>
      <c r="I23" s="51"/>
      <c r="J23" s="51"/>
      <c r="K23" s="51"/>
      <c r="L23" s="51"/>
      <c r="M23" s="172"/>
      <c r="N23" s="172"/>
      <c r="O23" s="172"/>
      <c r="P23" s="172"/>
      <c r="Q23" s="172"/>
      <c r="R23" s="172"/>
      <c r="S23" s="172">
        <f>N27*6</f>
        <v>0.32639999999999997</v>
      </c>
    </row>
    <row r="24" spans="5:20" ht="18">
      <c r="E24" s="172"/>
      <c r="F24" s="172"/>
      <c r="G24" s="172">
        <f>0.0677-0.0065</f>
        <v>6.1199999999999997E-2</v>
      </c>
      <c r="H24" s="172" t="s">
        <v>2</v>
      </c>
      <c r="I24" s="51" t="s">
        <v>3</v>
      </c>
      <c r="J24" s="51" t="s">
        <v>4</v>
      </c>
      <c r="K24" s="51" t="s">
        <v>5</v>
      </c>
      <c r="L24" s="52" t="s">
        <v>6</v>
      </c>
      <c r="M24" s="172"/>
      <c r="N24" s="172">
        <f>0.0713-0.0014</f>
        <v>6.9900000000000004E-2</v>
      </c>
      <c r="O24" s="172" t="s">
        <v>2</v>
      </c>
      <c r="P24" s="172" t="s">
        <v>3</v>
      </c>
      <c r="Q24" s="172" t="s">
        <v>4</v>
      </c>
      <c r="R24" s="172" t="s">
        <v>5</v>
      </c>
      <c r="S24" s="2" t="s">
        <v>6</v>
      </c>
    </row>
    <row r="25" spans="5:20">
      <c r="E25" s="172"/>
      <c r="F25" s="172"/>
      <c r="G25" s="172"/>
      <c r="H25" s="172">
        <v>20</v>
      </c>
      <c r="I25" s="51">
        <v>100</v>
      </c>
      <c r="J25" s="176">
        <v>25.453401383960319</v>
      </c>
      <c r="K25" s="175">
        <v>31.589793061601711</v>
      </c>
      <c r="L25" s="51">
        <f>K25-J25</f>
        <v>6.1363916776413916</v>
      </c>
      <c r="M25" s="237"/>
      <c r="N25" s="172"/>
      <c r="O25" s="172">
        <v>20</v>
      </c>
      <c r="P25" s="172">
        <v>100</v>
      </c>
      <c r="Q25" s="178">
        <v>25.109184539865531</v>
      </c>
      <c r="R25" s="177">
        <v>32.263604984498329</v>
      </c>
      <c r="S25" s="172">
        <f>R25-Q25</f>
        <v>7.1544204446327981</v>
      </c>
      <c r="T25" s="188"/>
    </row>
    <row r="26" spans="5:20">
      <c r="E26" s="172" t="s">
        <v>7</v>
      </c>
      <c r="F26" s="172"/>
      <c r="G26" s="1" t="s">
        <v>38</v>
      </c>
      <c r="H26" s="172"/>
      <c r="I26" s="51"/>
      <c r="J26" s="51"/>
      <c r="K26" s="51"/>
      <c r="L26" s="51"/>
      <c r="M26" s="172"/>
      <c r="N26" s="172"/>
      <c r="O26" s="172"/>
      <c r="P26" s="172"/>
      <c r="Q26" s="172"/>
      <c r="R26" s="172"/>
      <c r="S26" s="172"/>
    </row>
    <row r="27" spans="5:20" ht="18">
      <c r="E27" s="172"/>
      <c r="F27" s="172"/>
      <c r="G27" s="172">
        <f>0.0575-0.0015</f>
        <v>5.6000000000000001E-2</v>
      </c>
      <c r="H27" s="172" t="s">
        <v>2</v>
      </c>
      <c r="I27" s="51" t="s">
        <v>3</v>
      </c>
      <c r="J27" s="51" t="s">
        <v>4</v>
      </c>
      <c r="K27" s="51" t="s">
        <v>5</v>
      </c>
      <c r="L27" s="52" t="s">
        <v>6</v>
      </c>
      <c r="M27" s="172"/>
      <c r="N27" s="172">
        <f>0.0552-0.0008</f>
        <v>5.4399999999999997E-2</v>
      </c>
      <c r="O27" s="172" t="s">
        <v>2</v>
      </c>
      <c r="P27" s="172" t="s">
        <v>3</v>
      </c>
      <c r="Q27" s="172" t="s">
        <v>4</v>
      </c>
      <c r="R27" s="172" t="s">
        <v>5</v>
      </c>
      <c r="S27" s="2" t="s">
        <v>6</v>
      </c>
    </row>
    <row r="28" spans="5:20">
      <c r="E28" s="172"/>
      <c r="F28" s="172"/>
      <c r="G28" s="172"/>
      <c r="H28" s="172">
        <v>20</v>
      </c>
      <c r="I28" s="51">
        <v>100</v>
      </c>
      <c r="J28" s="180">
        <v>25.160034755470431</v>
      </c>
      <c r="K28" s="179">
        <v>26.657601544714076</v>
      </c>
      <c r="L28" s="51">
        <f>K28-J28</f>
        <v>1.4975667892436455</v>
      </c>
      <c r="M28" s="183"/>
      <c r="N28" s="172"/>
      <c r="O28" s="172">
        <v>20</v>
      </c>
      <c r="P28" s="172">
        <v>100</v>
      </c>
      <c r="Q28" s="182">
        <v>25.608980364142699</v>
      </c>
      <c r="R28" s="181">
        <v>26.993622749663743</v>
      </c>
      <c r="S28" s="172">
        <f>R28-Q28</f>
        <v>1.3846423855210439</v>
      </c>
      <c r="T28" s="229"/>
    </row>
    <row r="29" spans="5:20">
      <c r="E29" s="172" t="s">
        <v>7</v>
      </c>
      <c r="F29" s="172"/>
      <c r="G29" s="1" t="s">
        <v>39</v>
      </c>
      <c r="H29" s="172"/>
      <c r="I29" s="51"/>
      <c r="J29" s="172"/>
      <c r="K29" s="172"/>
      <c r="L29" s="172"/>
      <c r="M29" s="172"/>
      <c r="N29" s="172"/>
      <c r="O29" s="172"/>
      <c r="P29" s="172"/>
      <c r="Q29" s="172"/>
      <c r="R29" s="172"/>
      <c r="S29" s="172"/>
    </row>
    <row r="30" spans="5:20" ht="18">
      <c r="E30" s="172"/>
      <c r="F30" s="172"/>
      <c r="G30" s="172">
        <f>0.0517-0.002</f>
        <v>4.9700000000000001E-2</v>
      </c>
      <c r="H30" s="172" t="s">
        <v>2</v>
      </c>
      <c r="I30" s="51" t="s">
        <v>3</v>
      </c>
      <c r="J30" s="51" t="s">
        <v>4</v>
      </c>
      <c r="K30" s="51" t="s">
        <v>5</v>
      </c>
      <c r="L30" s="52" t="s">
        <v>6</v>
      </c>
      <c r="M30" s="172"/>
      <c r="N30" s="172">
        <f>0.0602-0.0142</f>
        <v>4.5999999999999999E-2</v>
      </c>
      <c r="O30" s="172" t="s">
        <v>2</v>
      </c>
      <c r="P30" s="172" t="s">
        <v>3</v>
      </c>
      <c r="Q30" s="172" t="s">
        <v>4</v>
      </c>
      <c r="R30" s="172" t="s">
        <v>5</v>
      </c>
      <c r="S30" s="2" t="s">
        <v>6</v>
      </c>
    </row>
    <row r="31" spans="5:20">
      <c r="E31" s="172"/>
      <c r="F31" s="172"/>
      <c r="G31" s="172"/>
      <c r="H31" s="172">
        <v>20</v>
      </c>
      <c r="I31" s="51">
        <v>100</v>
      </c>
      <c r="J31" s="185">
        <v>24.886412166739248</v>
      </c>
      <c r="K31" s="184">
        <v>25.618059224966711</v>
      </c>
      <c r="L31" s="51">
        <f>K31-J31</f>
        <v>0.73164705822746257</v>
      </c>
      <c r="M31" s="187"/>
      <c r="N31" s="172"/>
      <c r="O31" s="172">
        <v>20</v>
      </c>
      <c r="P31" s="172">
        <v>100</v>
      </c>
      <c r="Q31" s="187">
        <v>25.606883353405191</v>
      </c>
      <c r="R31" s="186">
        <v>26.30351268073991</v>
      </c>
      <c r="S31" s="172">
        <f>R31-Q31</f>
        <v>0.69662932733471905</v>
      </c>
    </row>
    <row r="37" spans="7:7">
      <c r="G37">
        <f>G27*6</f>
        <v>0.33600000000000002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BJ16"/>
  <sheetViews>
    <sheetView topLeftCell="AM1" workbookViewId="0">
      <selection activeCell="AN5" sqref="AN5"/>
    </sheetView>
  </sheetViews>
  <sheetFormatPr defaultRowHeight="15"/>
  <sheetData>
    <row r="2" spans="5:62">
      <c r="E2" s="21">
        <v>42193</v>
      </c>
      <c r="F2" s="188"/>
      <c r="G2" s="51"/>
      <c r="H2" s="51"/>
      <c r="I2" s="51"/>
      <c r="J2" s="52"/>
    </row>
    <row r="3" spans="5:62">
      <c r="E3" s="188" t="s">
        <v>0</v>
      </c>
      <c r="F3" s="188"/>
      <c r="G3" s="1" t="s">
        <v>45</v>
      </c>
      <c r="H3" s="188"/>
      <c r="I3" s="51">
        <f>G4/20*140</f>
        <v>0.94919999999999993</v>
      </c>
      <c r="J3" s="188"/>
      <c r="K3" s="51"/>
      <c r="L3" s="51"/>
      <c r="M3" s="188"/>
      <c r="N3" s="188"/>
      <c r="O3" s="188"/>
      <c r="P3" s="188"/>
      <c r="Q3" s="188"/>
      <c r="R3" s="188"/>
      <c r="S3" s="188"/>
      <c r="AP3" s="21">
        <v>42194</v>
      </c>
      <c r="BD3" s="21">
        <v>42195</v>
      </c>
    </row>
    <row r="4" spans="5:62" ht="18">
      <c r="E4" s="188"/>
      <c r="F4" s="188"/>
      <c r="G4" s="188">
        <f>0.1373-0.0017</f>
        <v>0.1356</v>
      </c>
      <c r="H4" s="188" t="s">
        <v>2</v>
      </c>
      <c r="I4" s="51" t="s">
        <v>3</v>
      </c>
      <c r="J4" s="51" t="s">
        <v>4</v>
      </c>
      <c r="K4" s="51" t="s">
        <v>5</v>
      </c>
      <c r="L4" s="52" t="s">
        <v>6</v>
      </c>
      <c r="M4" s="188"/>
      <c r="N4" s="192">
        <f>0.145-0.0095</f>
        <v>0.13549999999999998</v>
      </c>
      <c r="O4" s="192" t="s">
        <v>2</v>
      </c>
      <c r="P4" s="51" t="s">
        <v>3</v>
      </c>
      <c r="Q4" s="51" t="s">
        <v>4</v>
      </c>
      <c r="R4" s="51" t="s">
        <v>5</v>
      </c>
      <c r="S4" s="52" t="s">
        <v>6</v>
      </c>
      <c r="U4" s="194">
        <f>0.1353-0.0015</f>
        <v>0.1338</v>
      </c>
      <c r="V4" s="194" t="s">
        <v>2</v>
      </c>
      <c r="W4" s="51" t="s">
        <v>3</v>
      </c>
      <c r="X4" s="51" t="s">
        <v>4</v>
      </c>
      <c r="Y4" s="51" t="s">
        <v>5</v>
      </c>
      <c r="Z4" s="52" t="s">
        <v>6</v>
      </c>
      <c r="AB4" s="196">
        <f>0.1379-0.0043</f>
        <v>0.1336</v>
      </c>
      <c r="AC4" s="196" t="s">
        <v>2</v>
      </c>
      <c r="AD4" s="51" t="s">
        <v>3</v>
      </c>
      <c r="AE4" s="51" t="s">
        <v>4</v>
      </c>
      <c r="AF4" s="51" t="s">
        <v>5</v>
      </c>
      <c r="AG4" s="52" t="s">
        <v>6</v>
      </c>
      <c r="AI4" s="215">
        <f>0.1455-0.0105</f>
        <v>0.13499999999999998</v>
      </c>
      <c r="AJ4" s="215" t="s">
        <v>2</v>
      </c>
      <c r="AK4" s="51" t="s">
        <v>3</v>
      </c>
      <c r="AL4" s="51" t="s">
        <v>4</v>
      </c>
      <c r="AM4" s="51" t="s">
        <v>5</v>
      </c>
      <c r="AN4" s="52" t="s">
        <v>6</v>
      </c>
      <c r="AP4" s="219">
        <f>0.1447-0.01</f>
        <v>0.13469999999999999</v>
      </c>
      <c r="AQ4" s="219" t="s">
        <v>2</v>
      </c>
      <c r="AR4" s="51" t="s">
        <v>3</v>
      </c>
      <c r="AS4" s="51" t="s">
        <v>4</v>
      </c>
      <c r="AT4" s="51" t="s">
        <v>5</v>
      </c>
      <c r="AU4" s="52" t="s">
        <v>6</v>
      </c>
      <c r="AW4" s="221">
        <f>0.1564-0.0217</f>
        <v>0.13470000000000001</v>
      </c>
      <c r="AX4" s="221" t="s">
        <v>2</v>
      </c>
      <c r="AY4" s="51" t="s">
        <v>3</v>
      </c>
      <c r="AZ4" s="51" t="s">
        <v>4</v>
      </c>
      <c r="BA4" s="51" t="s">
        <v>5</v>
      </c>
      <c r="BB4" s="52" t="s">
        <v>6</v>
      </c>
      <c r="BD4" s="241">
        <f>0.145-0.008</f>
        <v>0.13699999999999998</v>
      </c>
      <c r="BE4" s="241" t="s">
        <v>2</v>
      </c>
      <c r="BF4" s="51" t="s">
        <v>3</v>
      </c>
      <c r="BG4" s="51" t="s">
        <v>4</v>
      </c>
      <c r="BH4" s="51" t="s">
        <v>5</v>
      </c>
      <c r="BI4" s="52" t="s">
        <v>6</v>
      </c>
    </row>
    <row r="5" spans="5:62">
      <c r="E5" s="188"/>
      <c r="F5" s="188"/>
      <c r="G5" s="188"/>
      <c r="H5" s="188">
        <v>20</v>
      </c>
      <c r="I5" s="51">
        <v>100</v>
      </c>
      <c r="J5" s="191">
        <v>24.76440890219266</v>
      </c>
      <c r="K5" s="192">
        <v>42.413810933459452</v>
      </c>
      <c r="L5" s="51">
        <f>K5-J5</f>
        <v>17.649402031266792</v>
      </c>
      <c r="M5" s="243"/>
      <c r="N5" s="192"/>
      <c r="O5" s="192">
        <v>20</v>
      </c>
      <c r="P5" s="51">
        <v>100</v>
      </c>
      <c r="Q5" s="194">
        <v>25.110674656073719</v>
      </c>
      <c r="R5" s="193">
        <v>44.427796121108301</v>
      </c>
      <c r="S5" s="51">
        <f>R5-Q5</f>
        <v>19.317121465034582</v>
      </c>
      <c r="T5" s="243"/>
      <c r="U5" s="194"/>
      <c r="V5" s="194">
        <v>20</v>
      </c>
      <c r="W5" s="51">
        <v>100</v>
      </c>
      <c r="X5" s="196">
        <v>25.451818135489109</v>
      </c>
      <c r="Y5" s="195">
        <v>41.816739995285282</v>
      </c>
      <c r="Z5" s="51">
        <f>Y5-X5</f>
        <v>16.364921859796173</v>
      </c>
      <c r="AA5" s="243"/>
      <c r="AB5" s="196"/>
      <c r="AC5" s="196">
        <v>20</v>
      </c>
      <c r="AD5" s="51">
        <v>100</v>
      </c>
      <c r="AE5" s="198">
        <v>25.629514493317274</v>
      </c>
      <c r="AF5" s="197">
        <v>41.638577976142052</v>
      </c>
      <c r="AG5" s="51">
        <f>AF5-AE5</f>
        <v>16.009063482824779</v>
      </c>
      <c r="AH5" s="243"/>
      <c r="AI5" s="215"/>
      <c r="AJ5" s="215">
        <v>20</v>
      </c>
      <c r="AK5" s="51">
        <v>100</v>
      </c>
      <c r="AL5" s="217">
        <v>25.953242239549301</v>
      </c>
      <c r="AM5" s="216">
        <v>44.540765556142652</v>
      </c>
      <c r="AN5" s="51">
        <f>AM5-AL5</f>
        <v>18.587523316593352</v>
      </c>
      <c r="AO5" s="243"/>
      <c r="AP5" s="219"/>
      <c r="AQ5" s="219">
        <v>20</v>
      </c>
      <c r="AR5" s="51">
        <v>100</v>
      </c>
      <c r="AS5" s="221">
        <v>25.447068390075479</v>
      </c>
      <c r="AT5" s="220">
        <v>45.727177454660982</v>
      </c>
      <c r="AU5" s="51">
        <f>AT5-AS5</f>
        <v>20.280109064585503</v>
      </c>
      <c r="AV5" s="243"/>
      <c r="AW5" s="221"/>
      <c r="AX5" s="221">
        <v>20</v>
      </c>
      <c r="AY5" s="51">
        <v>100</v>
      </c>
      <c r="AZ5" s="223">
        <v>25.452190664541174</v>
      </c>
      <c r="BA5" s="222">
        <v>42.703545403691855</v>
      </c>
      <c r="BB5" s="51">
        <f>BA5-AZ5</f>
        <v>17.251354739150681</v>
      </c>
      <c r="BC5" s="243"/>
      <c r="BD5" s="241"/>
      <c r="BE5" s="241">
        <v>20</v>
      </c>
      <c r="BF5" s="51">
        <v>100</v>
      </c>
      <c r="BG5" s="243">
        <v>25.103317207295728</v>
      </c>
      <c r="BH5" s="242">
        <v>44.967497585266692</v>
      </c>
      <c r="BI5" s="51">
        <f>BH5-BG5</f>
        <v>19.864180377970964</v>
      </c>
    </row>
    <row r="6" spans="5:62">
      <c r="E6" s="188" t="s">
        <v>7</v>
      </c>
      <c r="F6" s="188"/>
      <c r="G6" s="239" t="s">
        <v>46</v>
      </c>
      <c r="H6" s="188"/>
      <c r="I6" s="51"/>
      <c r="J6" s="51"/>
      <c r="K6" s="51"/>
      <c r="L6" s="51"/>
      <c r="M6" s="188"/>
      <c r="N6" s="188"/>
      <c r="O6" s="188"/>
      <c r="P6" s="188"/>
      <c r="Q6" s="188"/>
      <c r="R6" s="188"/>
      <c r="S6" s="188"/>
      <c r="AB6" s="21">
        <v>42194</v>
      </c>
      <c r="BD6" s="21">
        <v>42207</v>
      </c>
    </row>
    <row r="7" spans="5:62" ht="18">
      <c r="E7" s="188"/>
      <c r="F7" s="188"/>
      <c r="G7" s="188">
        <f>0.0682-0.008</f>
        <v>6.0199999999999997E-2</v>
      </c>
      <c r="H7" s="188" t="s">
        <v>2</v>
      </c>
      <c r="I7" s="51" t="s">
        <v>3</v>
      </c>
      <c r="J7" s="51" t="s">
        <v>4</v>
      </c>
      <c r="K7" s="51" t="s">
        <v>5</v>
      </c>
      <c r="L7" s="52" t="s">
        <v>6</v>
      </c>
      <c r="M7" s="188"/>
      <c r="N7" s="188">
        <f>0.0702-0.0093</f>
        <v>6.0899999999999996E-2</v>
      </c>
      <c r="O7" s="188" t="s">
        <v>2</v>
      </c>
      <c r="P7" s="188" t="s">
        <v>3</v>
      </c>
      <c r="Q7" s="188" t="s">
        <v>4</v>
      </c>
      <c r="R7" s="188" t="s">
        <v>5</v>
      </c>
      <c r="S7" s="2" t="s">
        <v>6</v>
      </c>
      <c r="U7" s="217">
        <f>0.0648-0.0048</f>
        <v>0.06</v>
      </c>
      <c r="V7" s="217" t="s">
        <v>2</v>
      </c>
      <c r="W7" s="217" t="s">
        <v>3</v>
      </c>
      <c r="X7" s="217" t="s">
        <v>4</v>
      </c>
      <c r="Y7" s="217" t="s">
        <v>5</v>
      </c>
      <c r="Z7" s="2" t="s">
        <v>6</v>
      </c>
      <c r="AB7" s="223">
        <f>0.0705-0.0064</f>
        <v>6.409999999999999E-2</v>
      </c>
      <c r="AC7" s="223" t="s">
        <v>2</v>
      </c>
      <c r="AD7" s="223" t="s">
        <v>3</v>
      </c>
      <c r="AE7" s="223" t="s">
        <v>4</v>
      </c>
      <c r="AF7" s="223" t="s">
        <v>5</v>
      </c>
      <c r="AG7" s="2" t="s">
        <v>6</v>
      </c>
      <c r="AI7" s="241">
        <f>0.0609-0.0003</f>
        <v>6.0600000000000001E-2</v>
      </c>
      <c r="AJ7" s="241" t="s">
        <v>2</v>
      </c>
      <c r="AK7" s="241" t="s">
        <v>3</v>
      </c>
      <c r="AL7" s="241" t="s">
        <v>4</v>
      </c>
      <c r="AM7" s="241" t="s">
        <v>5</v>
      </c>
      <c r="AN7" s="2" t="s">
        <v>6</v>
      </c>
      <c r="AO7" s="21">
        <v>42196</v>
      </c>
      <c r="AP7" s="254">
        <f>0.0701-0.009</f>
        <v>6.1099999999999995E-2</v>
      </c>
      <c r="AQ7" s="254" t="s">
        <v>2</v>
      </c>
      <c r="AR7" s="254" t="s">
        <v>3</v>
      </c>
      <c r="AS7" s="254" t="s">
        <v>4</v>
      </c>
      <c r="AT7" s="254" t="s">
        <v>5</v>
      </c>
      <c r="AU7" s="2" t="s">
        <v>6</v>
      </c>
      <c r="AV7" s="21">
        <v>42198</v>
      </c>
      <c r="AW7" s="256">
        <f>0.0701-0.0076</f>
        <v>6.2499999999999993E-2</v>
      </c>
      <c r="AX7" s="256" t="s">
        <v>2</v>
      </c>
      <c r="AY7" s="256" t="s">
        <v>3</v>
      </c>
      <c r="AZ7" s="256" t="s">
        <v>4</v>
      </c>
      <c r="BA7" s="256" t="s">
        <v>5</v>
      </c>
      <c r="BB7" s="2" t="s">
        <v>6</v>
      </c>
      <c r="BD7" s="264">
        <f>0.0675-0.0087</f>
        <v>5.8800000000000005E-2</v>
      </c>
      <c r="BE7" s="264" t="s">
        <v>2</v>
      </c>
      <c r="BF7" s="264" t="s">
        <v>3</v>
      </c>
      <c r="BG7" s="264" t="s">
        <v>4</v>
      </c>
      <c r="BH7" s="264" t="s">
        <v>5</v>
      </c>
      <c r="BI7" s="2" t="s">
        <v>6</v>
      </c>
    </row>
    <row r="8" spans="5:62">
      <c r="E8" s="188"/>
      <c r="F8" s="188"/>
      <c r="G8" s="188"/>
      <c r="H8" s="188">
        <v>20</v>
      </c>
      <c r="I8" s="51">
        <v>100</v>
      </c>
      <c r="J8" s="200">
        <v>25.459734377845184</v>
      </c>
      <c r="K8" s="199">
        <v>28.523413301909756</v>
      </c>
      <c r="L8" s="51">
        <f>K8-J8</f>
        <v>3.0636789240645719</v>
      </c>
      <c r="M8" s="188"/>
      <c r="N8" s="188"/>
      <c r="O8" s="188">
        <v>20</v>
      </c>
      <c r="P8" s="188">
        <v>100</v>
      </c>
      <c r="Q8" s="202">
        <v>25.460200039160249</v>
      </c>
      <c r="R8" s="201">
        <v>28.025248827055034</v>
      </c>
      <c r="S8" s="188">
        <f>R8-Q8</f>
        <v>2.565048787894785</v>
      </c>
      <c r="U8" s="217"/>
      <c r="V8" s="217">
        <v>20</v>
      </c>
      <c r="W8" s="217">
        <v>100</v>
      </c>
      <c r="X8" s="219">
        <v>25.60604516303809</v>
      </c>
      <c r="Y8" s="218">
        <v>26.973785577642069</v>
      </c>
      <c r="Z8" s="217">
        <f>Y8-X8</f>
        <v>1.3677404146039791</v>
      </c>
      <c r="AA8" s="225"/>
      <c r="AB8" s="223"/>
      <c r="AC8" s="223">
        <v>20</v>
      </c>
      <c r="AD8" s="223">
        <v>100</v>
      </c>
      <c r="AE8" s="225">
        <v>25.452097532278152</v>
      </c>
      <c r="AF8" s="224">
        <v>26.981515555472097</v>
      </c>
      <c r="AG8" s="225">
        <f>AF8-AE8</f>
        <v>1.5294180231939443</v>
      </c>
      <c r="AJ8" s="241">
        <v>20</v>
      </c>
      <c r="AK8" s="241">
        <v>100</v>
      </c>
      <c r="AL8" s="241">
        <v>24.749787136899648</v>
      </c>
      <c r="AM8" s="240">
        <v>28.847047915878761</v>
      </c>
      <c r="AN8">
        <f>AM8-AL8</f>
        <v>4.0972607789791127</v>
      </c>
      <c r="AP8" s="254"/>
      <c r="AQ8" s="254">
        <v>20</v>
      </c>
      <c r="AR8" s="254">
        <v>100</v>
      </c>
      <c r="AS8" s="256">
        <v>25.537779214249802</v>
      </c>
      <c r="AT8" s="255">
        <v>28.199592423414732</v>
      </c>
      <c r="AU8" s="254">
        <f>AT8-AS8</f>
        <v>2.6618132091649294</v>
      </c>
      <c r="AW8" s="256"/>
      <c r="AX8" s="256">
        <v>20</v>
      </c>
      <c r="AY8" s="256">
        <v>100</v>
      </c>
      <c r="AZ8" s="258">
        <v>24.781358974060957</v>
      </c>
      <c r="BA8" s="257">
        <v>27.508178502808732</v>
      </c>
      <c r="BB8" s="256">
        <f>BA8-AZ8</f>
        <v>2.7268195287477752</v>
      </c>
      <c r="BD8" s="264"/>
      <c r="BE8" s="264">
        <v>20</v>
      </c>
      <c r="BF8" s="264">
        <v>100</v>
      </c>
      <c r="BG8" s="266">
        <v>25.455264029220572</v>
      </c>
      <c r="BH8" s="265">
        <v>27.838052978399581</v>
      </c>
      <c r="BI8" s="264">
        <f>BH8-BG8</f>
        <v>2.3827889491790089</v>
      </c>
    </row>
    <row r="9" spans="5:62">
      <c r="E9" s="188" t="s">
        <v>7</v>
      </c>
      <c r="F9" s="188"/>
      <c r="G9" s="1" t="s">
        <v>47</v>
      </c>
      <c r="H9" s="188"/>
      <c r="I9" s="51"/>
      <c r="J9" s="51"/>
      <c r="K9" s="51"/>
      <c r="L9" s="51"/>
      <c r="M9" s="188"/>
      <c r="N9" s="188"/>
      <c r="O9" s="188"/>
      <c r="P9" s="188"/>
      <c r="Q9" s="188"/>
      <c r="R9" s="188"/>
      <c r="S9" s="188"/>
      <c r="AH9" s="225"/>
      <c r="AI9" s="21">
        <v>42194</v>
      </c>
      <c r="AW9">
        <f>AW10*7</f>
        <v>0.40109999999999996</v>
      </c>
    </row>
    <row r="10" spans="5:62" ht="18">
      <c r="E10" s="188"/>
      <c r="F10" s="188"/>
      <c r="G10" s="188">
        <f>0.0806-0.0224</f>
        <v>5.8200000000000002E-2</v>
      </c>
      <c r="H10" s="188" t="s">
        <v>2</v>
      </c>
      <c r="I10" s="51" t="s">
        <v>3</v>
      </c>
      <c r="J10" s="51" t="s">
        <v>4</v>
      </c>
      <c r="K10" s="51" t="s">
        <v>5</v>
      </c>
      <c r="L10" s="52" t="s">
        <v>6</v>
      </c>
      <c r="M10" s="188">
        <f>G10*6</f>
        <v>0.34920000000000001</v>
      </c>
      <c r="N10" s="188">
        <f>0.0565-0.0048</f>
        <v>5.1700000000000003E-2</v>
      </c>
      <c r="O10" s="188" t="s">
        <v>2</v>
      </c>
      <c r="P10" s="188" t="s">
        <v>3</v>
      </c>
      <c r="Q10" s="188" t="s">
        <v>4</v>
      </c>
      <c r="R10" s="188" t="s">
        <v>5</v>
      </c>
      <c r="S10" s="2" t="s">
        <v>6</v>
      </c>
      <c r="U10" s="207">
        <f>0.0642-0.0105</f>
        <v>5.3699999999999991E-2</v>
      </c>
      <c r="V10" s="207" t="s">
        <v>2</v>
      </c>
      <c r="W10" s="207" t="s">
        <v>3</v>
      </c>
      <c r="X10" s="207" t="s">
        <v>4</v>
      </c>
      <c r="Y10" s="207" t="s">
        <v>5</v>
      </c>
      <c r="Z10" s="2" t="s">
        <v>6</v>
      </c>
      <c r="AB10" s="209">
        <f>0.0542-0.002</f>
        <v>5.2199999999999996E-2</v>
      </c>
      <c r="AC10" s="209" t="s">
        <v>2</v>
      </c>
      <c r="AD10" s="209" t="s">
        <v>3</v>
      </c>
      <c r="AE10" s="209" t="s">
        <v>4</v>
      </c>
      <c r="AF10" s="209" t="s">
        <v>5</v>
      </c>
      <c r="AG10" s="2" t="s">
        <v>6</v>
      </c>
      <c r="AI10" s="225">
        <f>0.0539-0.0013</f>
        <v>5.2600000000000001E-2</v>
      </c>
      <c r="AJ10" s="225" t="s">
        <v>2</v>
      </c>
      <c r="AK10" s="225" t="s">
        <v>3</v>
      </c>
      <c r="AL10" s="225" t="s">
        <v>4</v>
      </c>
      <c r="AM10" s="225" t="s">
        <v>5</v>
      </c>
      <c r="AN10" s="2" t="s">
        <v>6</v>
      </c>
      <c r="AP10" s="227">
        <f>0.0631-0.0108</f>
        <v>5.2299999999999999E-2</v>
      </c>
      <c r="AQ10" s="227" t="s">
        <v>2</v>
      </c>
      <c r="AR10" s="227" t="s">
        <v>3</v>
      </c>
      <c r="AS10" s="227" t="s">
        <v>4</v>
      </c>
      <c r="AT10" s="227" t="s">
        <v>5</v>
      </c>
      <c r="AU10" s="2" t="s">
        <v>6</v>
      </c>
      <c r="AW10" s="229">
        <f>0.0701-0.0128</f>
        <v>5.7299999999999997E-2</v>
      </c>
      <c r="AX10" s="229" t="s">
        <v>2</v>
      </c>
      <c r="AY10" s="229" t="s">
        <v>3</v>
      </c>
      <c r="AZ10" s="229" t="s">
        <v>4</v>
      </c>
      <c r="BA10" s="229" t="s">
        <v>5</v>
      </c>
      <c r="BB10" s="2" t="s">
        <v>6</v>
      </c>
      <c r="BD10" s="231">
        <f>0.0538-0.0005</f>
        <v>5.33E-2</v>
      </c>
      <c r="BE10" s="231" t="s">
        <v>2</v>
      </c>
      <c r="BF10" s="231" t="s">
        <v>3</v>
      </c>
      <c r="BG10" s="231" t="s">
        <v>4</v>
      </c>
      <c r="BH10" s="231" t="s">
        <v>5</v>
      </c>
      <c r="BI10" s="2" t="s">
        <v>6</v>
      </c>
      <c r="BJ10" s="231"/>
    </row>
    <row r="11" spans="5:62">
      <c r="E11" s="188"/>
      <c r="F11" s="188"/>
      <c r="G11" s="188"/>
      <c r="H11" s="188">
        <v>20</v>
      </c>
      <c r="I11" s="51">
        <v>100</v>
      </c>
      <c r="J11" s="204">
        <v>25.491306215006492</v>
      </c>
      <c r="K11" s="203">
        <v>31.250605359709571</v>
      </c>
      <c r="L11" s="51">
        <f>K11-J11</f>
        <v>5.7592991447030784</v>
      </c>
      <c r="M11" s="206"/>
      <c r="N11" s="188"/>
      <c r="O11" s="188">
        <v>20</v>
      </c>
      <c r="P11" s="188">
        <v>100</v>
      </c>
      <c r="Q11" s="206">
        <v>25.62485788016664</v>
      </c>
      <c r="R11" s="205">
        <v>29.722025526882728</v>
      </c>
      <c r="S11" s="188">
        <f>R11-Q11</f>
        <v>4.0971676467160876</v>
      </c>
      <c r="T11" s="227"/>
      <c r="U11" s="207"/>
      <c r="V11" s="207">
        <v>20</v>
      </c>
      <c r="W11" s="207">
        <v>100</v>
      </c>
      <c r="X11" s="209">
        <v>25.624764747903619</v>
      </c>
      <c r="Y11" s="208">
        <v>30.06335527082414</v>
      </c>
      <c r="Z11" s="207">
        <f>Y11-X11</f>
        <v>4.4385905229205207</v>
      </c>
      <c r="AA11" s="227"/>
      <c r="AB11" s="209"/>
      <c r="AC11" s="209">
        <v>20</v>
      </c>
      <c r="AD11" s="209">
        <v>100</v>
      </c>
      <c r="AE11" s="211">
        <v>25.444553818974114</v>
      </c>
      <c r="AF11" s="210">
        <v>28.876943372305835</v>
      </c>
      <c r="AG11" s="209">
        <f>AF11-AE11</f>
        <v>3.4323895533317206</v>
      </c>
      <c r="AH11" s="227"/>
      <c r="AI11" s="225"/>
      <c r="AJ11" s="225">
        <v>20</v>
      </c>
      <c r="AK11" s="225">
        <v>100</v>
      </c>
      <c r="AL11" s="227">
        <v>25.624578483377597</v>
      </c>
      <c r="AM11" s="226">
        <v>29.420835788299787</v>
      </c>
      <c r="AN11" s="225">
        <f>AM11-AL11</f>
        <v>3.7962573049221895</v>
      </c>
      <c r="AO11" s="227"/>
      <c r="AP11" s="227"/>
      <c r="AQ11" s="227">
        <v>20</v>
      </c>
      <c r="AR11" s="227">
        <v>100</v>
      </c>
      <c r="AS11" s="229">
        <v>25.523623110271881</v>
      </c>
      <c r="AT11" s="228">
        <v>30.745083436076857</v>
      </c>
      <c r="AU11" s="227">
        <f>AT11-AS11</f>
        <v>5.2214603258049763</v>
      </c>
      <c r="AV11" s="231"/>
      <c r="AW11" s="229"/>
      <c r="AX11" s="229">
        <v>20</v>
      </c>
      <c r="AY11" s="229">
        <v>100</v>
      </c>
      <c r="AZ11" s="231">
        <v>25.446975257812454</v>
      </c>
      <c r="BA11" s="230">
        <v>29.946567413006271</v>
      </c>
      <c r="BB11" s="229">
        <f>BA11-AZ11</f>
        <v>4.4995921551938167</v>
      </c>
      <c r="BC11" s="231"/>
      <c r="BD11" s="231"/>
      <c r="BE11" s="231">
        <v>20</v>
      </c>
      <c r="BF11" s="231">
        <v>100</v>
      </c>
      <c r="BG11" s="233">
        <v>25.110115862495658</v>
      </c>
      <c r="BH11" s="232">
        <v>29.296969878492945</v>
      </c>
      <c r="BI11" s="231">
        <f>BH11-BG11</f>
        <v>4.1868540159972873</v>
      </c>
      <c r="BJ11" s="231"/>
    </row>
    <row r="12" spans="5:62">
      <c r="E12" s="188" t="s">
        <v>7</v>
      </c>
      <c r="F12" s="188"/>
      <c r="G12" s="250" t="s">
        <v>49</v>
      </c>
      <c r="H12" s="188"/>
      <c r="I12" s="51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U12" s="21">
        <v>42194</v>
      </c>
      <c r="AH12" s="227"/>
      <c r="AI12" s="21">
        <v>42195</v>
      </c>
      <c r="BD12">
        <f>BD10*7</f>
        <v>0.37309999999999999</v>
      </c>
    </row>
    <row r="13" spans="5:62" ht="18">
      <c r="E13" s="188"/>
      <c r="F13" s="188"/>
      <c r="G13" s="188">
        <f>0.0537-0.0084</f>
        <v>4.53E-2</v>
      </c>
      <c r="H13" s="188" t="s">
        <v>2</v>
      </c>
      <c r="I13" s="51" t="s">
        <v>3</v>
      </c>
      <c r="J13" s="51" t="s">
        <v>4</v>
      </c>
      <c r="K13" s="51" t="s">
        <v>5</v>
      </c>
      <c r="L13" s="52" t="s">
        <v>6</v>
      </c>
      <c r="M13" s="188"/>
      <c r="N13" s="188">
        <f>0.0608-0.0167</f>
        <v>4.41E-2</v>
      </c>
      <c r="O13" s="188" t="s">
        <v>2</v>
      </c>
      <c r="P13" s="188" t="s">
        <v>3</v>
      </c>
      <c r="Q13" s="188" t="s">
        <v>4</v>
      </c>
      <c r="R13" s="188" t="s">
        <v>5</v>
      </c>
      <c r="S13" s="2" t="s">
        <v>6</v>
      </c>
      <c r="U13" s="233">
        <f>0.054-0.009</f>
        <v>4.4999999999999998E-2</v>
      </c>
      <c r="V13" s="233" t="s">
        <v>2</v>
      </c>
      <c r="W13" s="233" t="s">
        <v>3</v>
      </c>
      <c r="X13" s="233" t="s">
        <v>4</v>
      </c>
      <c r="Y13" s="233" t="s">
        <v>5</v>
      </c>
      <c r="Z13" s="2" t="s">
        <v>6</v>
      </c>
      <c r="AB13" s="235">
        <f>0.0482-0.0017</f>
        <v>4.65E-2</v>
      </c>
      <c r="AC13" s="235" t="s">
        <v>2</v>
      </c>
      <c r="AD13" s="235" t="s">
        <v>3</v>
      </c>
      <c r="AE13" s="235" t="s">
        <v>4</v>
      </c>
      <c r="AF13" s="235" t="s">
        <v>5</v>
      </c>
      <c r="AG13" s="2" t="s">
        <v>6</v>
      </c>
      <c r="AI13" s="243">
        <f>0.0543-0.005</f>
        <v>4.9300000000000004E-2</v>
      </c>
      <c r="AJ13" s="243" t="s">
        <v>2</v>
      </c>
      <c r="AK13" s="243" t="s">
        <v>3</v>
      </c>
      <c r="AL13" s="243" t="s">
        <v>4</v>
      </c>
      <c r="AM13" s="243" t="s">
        <v>5</v>
      </c>
      <c r="AN13" s="2" t="s">
        <v>6</v>
      </c>
      <c r="AP13" s="244">
        <f>0.0479-0.0008</f>
        <v>4.7099999999999996E-2</v>
      </c>
      <c r="AQ13" s="244" t="s">
        <v>2</v>
      </c>
      <c r="AR13" s="244" t="s">
        <v>3</v>
      </c>
      <c r="AS13" s="244" t="s">
        <v>4</v>
      </c>
      <c r="AT13" s="244" t="s">
        <v>5</v>
      </c>
      <c r="AU13" s="2" t="s">
        <v>6</v>
      </c>
      <c r="AW13" s="249">
        <f>0.059-0.0123</f>
        <v>4.6699999999999998E-2</v>
      </c>
      <c r="AX13" s="249" t="s">
        <v>2</v>
      </c>
      <c r="AY13" s="249" t="s">
        <v>3</v>
      </c>
      <c r="AZ13" s="249" t="s">
        <v>4</v>
      </c>
      <c r="BA13" s="249" t="s">
        <v>5</v>
      </c>
      <c r="BB13" s="2" t="s">
        <v>6</v>
      </c>
      <c r="BD13" s="252">
        <f>0.0532-0.0046</f>
        <v>4.8599999999999997E-2</v>
      </c>
      <c r="BE13" s="252" t="s">
        <v>2</v>
      </c>
      <c r="BF13" s="252" t="s">
        <v>3</v>
      </c>
      <c r="BG13" s="252" t="s">
        <v>4</v>
      </c>
      <c r="BH13" s="252" t="s">
        <v>5</v>
      </c>
      <c r="BI13" s="2" t="s">
        <v>6</v>
      </c>
    </row>
    <row r="14" spans="5:62">
      <c r="E14" s="188"/>
      <c r="F14" s="188"/>
      <c r="G14" s="188"/>
      <c r="H14" s="188">
        <v>20</v>
      </c>
      <c r="I14" s="51">
        <v>100</v>
      </c>
      <c r="J14" s="213">
        <v>25.451166209648026</v>
      </c>
      <c r="K14" s="212">
        <v>28.691703301173661</v>
      </c>
      <c r="L14" s="51">
        <f>K14-J14</f>
        <v>3.2405370915256348</v>
      </c>
      <c r="M14" s="188"/>
      <c r="N14" s="188"/>
      <c r="O14" s="188">
        <v>20</v>
      </c>
      <c r="P14" s="188">
        <v>100</v>
      </c>
      <c r="Q14" s="215">
        <v>25.438034560563228</v>
      </c>
      <c r="R14" s="214">
        <v>27.467665968398226</v>
      </c>
      <c r="S14" s="188">
        <f>R14-Q14</f>
        <v>2.029631407834998</v>
      </c>
      <c r="U14" s="233"/>
      <c r="V14" s="233">
        <v>20</v>
      </c>
      <c r="W14" s="233">
        <v>100</v>
      </c>
      <c r="X14" s="235">
        <v>25.119801617848964</v>
      </c>
      <c r="Y14" s="234">
        <v>29.58847386172258</v>
      </c>
      <c r="Z14" s="233">
        <f>Y14-X14</f>
        <v>4.4686722438736162</v>
      </c>
      <c r="AB14" s="235"/>
      <c r="AC14" s="235">
        <v>20</v>
      </c>
      <c r="AD14" s="235">
        <v>100</v>
      </c>
      <c r="AE14" s="237">
        <v>25.441852983346759</v>
      </c>
      <c r="AF14" s="236">
        <v>27.329830219139485</v>
      </c>
      <c r="AG14" s="235">
        <f>AF14-AE14</f>
        <v>1.8879772357927251</v>
      </c>
      <c r="AI14" s="243"/>
      <c r="AJ14" s="243">
        <v>20</v>
      </c>
      <c r="AK14" s="243">
        <v>100</v>
      </c>
      <c r="AL14" s="246">
        <v>24.771673218707626</v>
      </c>
      <c r="AM14" s="245">
        <v>28.184877525858727</v>
      </c>
      <c r="AN14" s="246">
        <f>AM14-AL14</f>
        <v>3.4132043071511013</v>
      </c>
      <c r="AO14" s="247"/>
      <c r="AP14" s="244"/>
      <c r="AQ14" s="244">
        <v>20</v>
      </c>
      <c r="AR14" s="244">
        <v>100</v>
      </c>
      <c r="AS14" s="249">
        <v>24.438539113911336</v>
      </c>
      <c r="AT14" s="248">
        <v>26.885309927780039</v>
      </c>
      <c r="AU14" s="249">
        <f>AT14-AS14</f>
        <v>2.446770813868703</v>
      </c>
      <c r="AW14" s="249"/>
      <c r="AX14" s="249">
        <v>20</v>
      </c>
      <c r="AY14" s="249">
        <v>100</v>
      </c>
      <c r="AZ14" s="251">
        <v>25.635474958150073</v>
      </c>
      <c r="BA14" s="252">
        <v>29.386935644563188</v>
      </c>
      <c r="BB14" s="249">
        <f>BA14-AZ14</f>
        <v>3.7514606864131146</v>
      </c>
      <c r="BD14" s="252"/>
      <c r="BE14" s="252">
        <v>20</v>
      </c>
      <c r="BF14" s="252">
        <v>100</v>
      </c>
      <c r="BG14" s="254">
        <v>25.46150389084244</v>
      </c>
      <c r="BH14" s="253">
        <v>29.220973951874601</v>
      </c>
      <c r="BI14" s="252">
        <f>BH14-BG14</f>
        <v>3.759470061032161</v>
      </c>
    </row>
    <row r="15" spans="5:62"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</row>
    <row r="16" spans="5:62">
      <c r="N16">
        <f>N13*7</f>
        <v>0.30869999999999997</v>
      </c>
      <c r="P16">
        <f>AVERAGE(S14,AG14,AN14,AU14,BB14,BI14)</f>
        <v>2.8814190853488006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X48"/>
  <sheetViews>
    <sheetView topLeftCell="C1" workbookViewId="0">
      <selection activeCell="K7" sqref="K7"/>
    </sheetView>
  </sheetViews>
  <sheetFormatPr defaultRowHeight="15"/>
  <sheetData>
    <row r="5" spans="3:60">
      <c r="C5" s="258" t="s">
        <v>0</v>
      </c>
      <c r="D5" s="21">
        <v>42207</v>
      </c>
      <c r="E5" s="1" t="s">
        <v>50</v>
      </c>
      <c r="F5" s="258"/>
      <c r="G5" s="51">
        <f>S6/20*140</f>
        <v>0</v>
      </c>
      <c r="H5" s="258"/>
      <c r="I5" s="51"/>
      <c r="J5" s="51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1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1"/>
      <c r="BC5" s="258"/>
      <c r="BD5" s="258"/>
      <c r="BE5" s="258"/>
      <c r="BF5" s="258"/>
      <c r="BG5" s="258"/>
      <c r="BH5" s="258"/>
    </row>
    <row r="6" spans="3:60" ht="18">
      <c r="C6" s="258"/>
      <c r="D6" s="258"/>
      <c r="F6" s="258" t="s">
        <v>2</v>
      </c>
      <c r="G6" s="51" t="s">
        <v>3</v>
      </c>
      <c r="H6" s="51" t="s">
        <v>4</v>
      </c>
      <c r="I6" s="51" t="s">
        <v>5</v>
      </c>
      <c r="J6" s="52" t="s">
        <v>6</v>
      </c>
      <c r="K6" s="258"/>
      <c r="L6" s="258"/>
      <c r="M6" s="258"/>
      <c r="N6" s="51"/>
      <c r="O6" s="51"/>
      <c r="P6" s="51"/>
      <c r="Q6" s="52"/>
      <c r="R6" s="258"/>
      <c r="S6" s="258"/>
      <c r="T6" s="258"/>
      <c r="U6" s="51"/>
      <c r="V6" s="51"/>
      <c r="W6" s="51"/>
      <c r="X6" s="52"/>
      <c r="Y6" s="258"/>
      <c r="Z6" s="258"/>
      <c r="AA6" s="258"/>
      <c r="AB6" s="51"/>
      <c r="AC6" s="51"/>
      <c r="AD6" s="51"/>
      <c r="AE6" s="52"/>
      <c r="AF6" s="258"/>
      <c r="AG6" s="258"/>
      <c r="AH6" s="258"/>
      <c r="AI6" s="51"/>
      <c r="AJ6" s="51"/>
      <c r="AK6" s="51"/>
      <c r="AL6" s="52"/>
      <c r="AM6" s="258"/>
      <c r="AN6" s="258"/>
      <c r="AO6" s="258"/>
      <c r="AP6" s="51"/>
      <c r="AQ6" s="51"/>
      <c r="AR6" s="51"/>
      <c r="AS6" s="52"/>
      <c r="AT6" s="258"/>
      <c r="AU6" s="258"/>
      <c r="AV6" s="258"/>
      <c r="AW6" s="51"/>
      <c r="AX6" s="51"/>
      <c r="AY6" s="51"/>
      <c r="AZ6" s="52"/>
      <c r="BA6" s="258"/>
      <c r="BB6" s="258"/>
      <c r="BC6" s="258"/>
      <c r="BD6" s="51"/>
      <c r="BE6" s="51"/>
      <c r="BF6" s="51"/>
      <c r="BG6" s="52"/>
      <c r="BH6" s="258"/>
    </row>
    <row r="7" spans="3:60" s="318" customFormat="1">
      <c r="E7" s="258">
        <f>0.1445-0.0096</f>
        <v>0.13489999999999999</v>
      </c>
      <c r="F7" s="258">
        <v>20</v>
      </c>
      <c r="G7" s="51">
        <v>100</v>
      </c>
      <c r="H7" s="260">
        <v>25.968609062946392</v>
      </c>
      <c r="I7" s="259">
        <v>43.419546241733215</v>
      </c>
      <c r="J7" s="51">
        <f t="shared" ref="J7:J14" si="0">I7-H7</f>
        <v>17.450937178786823</v>
      </c>
      <c r="K7" s="258">
        <f>E7*8</f>
        <v>1.0791999999999999</v>
      </c>
      <c r="N7" s="51"/>
      <c r="O7" s="51"/>
      <c r="P7" s="51"/>
      <c r="Q7" s="52"/>
      <c r="U7" s="51"/>
      <c r="V7" s="51"/>
      <c r="W7" s="51"/>
      <c r="X7" s="52"/>
      <c r="AB7" s="51"/>
      <c r="AC7" s="51"/>
      <c r="AD7" s="51"/>
      <c r="AE7" s="52"/>
      <c r="AI7" s="51"/>
      <c r="AJ7" s="51"/>
      <c r="AK7" s="51"/>
      <c r="AL7" s="52"/>
      <c r="AP7" s="51"/>
      <c r="AQ7" s="51"/>
      <c r="AR7" s="51"/>
      <c r="AS7" s="52"/>
      <c r="AW7" s="51"/>
      <c r="AX7" s="51"/>
      <c r="AY7" s="51"/>
      <c r="AZ7" s="52"/>
      <c r="BD7" s="51"/>
      <c r="BE7" s="51"/>
      <c r="BF7" s="51"/>
      <c r="BG7" s="52"/>
    </row>
    <row r="8" spans="3:60" s="318" customFormat="1">
      <c r="F8" s="258">
        <v>20</v>
      </c>
      <c r="G8" s="51">
        <v>100</v>
      </c>
      <c r="H8" s="261">
        <v>26.003533661576139</v>
      </c>
      <c r="I8" s="262">
        <v>41.216409427905646</v>
      </c>
      <c r="J8" s="51">
        <f t="shared" si="0"/>
        <v>15.212875766329507</v>
      </c>
      <c r="K8" s="262"/>
      <c r="N8" s="51"/>
      <c r="O8" s="51"/>
      <c r="P8" s="51"/>
      <c r="Q8" s="52"/>
      <c r="U8" s="51"/>
      <c r="V8" s="51"/>
      <c r="W8" s="51"/>
      <c r="X8" s="52"/>
      <c r="AB8" s="51"/>
      <c r="AC8" s="51"/>
      <c r="AD8" s="51"/>
      <c r="AE8" s="52"/>
      <c r="AI8" s="51"/>
      <c r="AJ8" s="51"/>
      <c r="AK8" s="51"/>
      <c r="AL8" s="52"/>
      <c r="AP8" s="51"/>
      <c r="AQ8" s="51"/>
      <c r="AR8" s="51"/>
      <c r="AS8" s="52"/>
      <c r="AW8" s="51"/>
      <c r="AX8" s="51"/>
      <c r="AY8" s="51"/>
      <c r="AZ8" s="52"/>
      <c r="BD8" s="51"/>
      <c r="BE8" s="51"/>
      <c r="BF8" s="51"/>
      <c r="BG8" s="52"/>
    </row>
    <row r="9" spans="3:60" s="318" customFormat="1">
      <c r="F9" s="258">
        <v>20</v>
      </c>
      <c r="G9" s="51">
        <v>100</v>
      </c>
      <c r="H9" s="264">
        <v>25.767350242576015</v>
      </c>
      <c r="I9" s="263">
        <v>41.924773420379971</v>
      </c>
      <c r="J9" s="51">
        <f t="shared" si="0"/>
        <v>16.157423177803956</v>
      </c>
      <c r="N9" s="51"/>
      <c r="O9" s="51"/>
      <c r="P9" s="51"/>
      <c r="Q9" s="52"/>
      <c r="U9" s="51"/>
      <c r="V9" s="51"/>
      <c r="W9" s="51"/>
      <c r="X9" s="52"/>
      <c r="AB9" s="51"/>
      <c r="AC9" s="51"/>
      <c r="AD9" s="51"/>
      <c r="AE9" s="52"/>
      <c r="AI9" s="51"/>
      <c r="AJ9" s="51"/>
      <c r="AK9" s="51"/>
      <c r="AL9" s="52"/>
      <c r="AP9" s="51"/>
      <c r="AQ9" s="51"/>
      <c r="AR9" s="51"/>
      <c r="AS9" s="52"/>
      <c r="AW9" s="51"/>
      <c r="AX9" s="51"/>
      <c r="AY9" s="51"/>
      <c r="AZ9" s="52"/>
      <c r="BD9" s="51"/>
      <c r="BE9" s="51"/>
      <c r="BF9" s="51"/>
      <c r="BG9" s="52"/>
    </row>
    <row r="10" spans="3:60" s="318" customFormat="1">
      <c r="F10" s="258">
        <v>20</v>
      </c>
      <c r="G10" s="51">
        <v>100</v>
      </c>
      <c r="H10" s="274">
        <v>25.119429088796924</v>
      </c>
      <c r="I10" s="273">
        <v>40.272234545483265</v>
      </c>
      <c r="J10" s="51">
        <f t="shared" si="0"/>
        <v>15.152805456686341</v>
      </c>
      <c r="N10" s="51"/>
      <c r="O10" s="51"/>
      <c r="P10" s="51"/>
      <c r="Q10" s="52"/>
      <c r="U10" s="51"/>
      <c r="V10" s="51"/>
      <c r="W10" s="51"/>
      <c r="X10" s="52"/>
      <c r="AB10" s="51"/>
      <c r="AC10" s="51"/>
      <c r="AD10" s="51"/>
      <c r="AE10" s="52"/>
      <c r="AI10" s="51"/>
      <c r="AJ10" s="51"/>
      <c r="AK10" s="51"/>
      <c r="AL10" s="52"/>
      <c r="AP10" s="51"/>
      <c r="AQ10" s="51"/>
      <c r="AR10" s="51"/>
      <c r="AS10" s="52"/>
      <c r="AW10" s="51"/>
      <c r="AX10" s="51"/>
      <c r="AY10" s="51"/>
      <c r="AZ10" s="52"/>
      <c r="BD10" s="51"/>
      <c r="BE10" s="51"/>
      <c r="BF10" s="51"/>
      <c r="BG10" s="52"/>
    </row>
    <row r="11" spans="3:60" s="318" customFormat="1">
      <c r="F11" s="258">
        <v>20</v>
      </c>
      <c r="G11" s="51">
        <v>100</v>
      </c>
      <c r="H11" s="276">
        <v>25.632401593470679</v>
      </c>
      <c r="I11" s="275">
        <v>41.473733870609642</v>
      </c>
      <c r="J11" s="51">
        <f t="shared" si="0"/>
        <v>15.841332277138964</v>
      </c>
      <c r="N11" s="51"/>
      <c r="O11" s="51"/>
      <c r="P11" s="51"/>
      <c r="Q11" s="52"/>
      <c r="U11" s="51"/>
      <c r="V11" s="51"/>
      <c r="W11" s="51"/>
      <c r="X11" s="52"/>
      <c r="AB11" s="51"/>
      <c r="AC11" s="51"/>
      <c r="AD11" s="51"/>
      <c r="AE11" s="52"/>
      <c r="AI11" s="51"/>
      <c r="AJ11" s="51"/>
      <c r="AK11" s="51"/>
      <c r="AL11" s="52"/>
      <c r="AP11" s="51"/>
      <c r="AQ11" s="51"/>
      <c r="AR11" s="51"/>
      <c r="AS11" s="52"/>
      <c r="AW11" s="51"/>
      <c r="AX11" s="51"/>
      <c r="AY11" s="51"/>
      <c r="AZ11" s="52"/>
      <c r="BD11" s="51"/>
      <c r="BE11" s="51"/>
      <c r="BF11" s="51"/>
      <c r="BG11" s="52"/>
    </row>
    <row r="12" spans="3:60" s="318" customFormat="1">
      <c r="F12" s="258">
        <v>20</v>
      </c>
      <c r="G12" s="51">
        <v>100</v>
      </c>
      <c r="H12" s="278">
        <v>25.615824050654417</v>
      </c>
      <c r="I12" s="277">
        <v>42.091480171172641</v>
      </c>
      <c r="J12" s="51">
        <f t="shared" si="0"/>
        <v>16.475656120518224</v>
      </c>
      <c r="N12" s="51"/>
      <c r="O12" s="51"/>
      <c r="P12" s="51"/>
      <c r="Q12" s="52"/>
      <c r="U12" s="51"/>
      <c r="V12" s="51"/>
      <c r="W12" s="51"/>
      <c r="X12" s="52"/>
      <c r="AB12" s="51"/>
      <c r="AC12" s="51"/>
      <c r="AD12" s="51"/>
      <c r="AE12" s="52"/>
      <c r="AI12" s="51"/>
      <c r="AJ12" s="51"/>
      <c r="AK12" s="51"/>
      <c r="AL12" s="52"/>
      <c r="AP12" s="51"/>
      <c r="AQ12" s="51"/>
      <c r="AR12" s="51"/>
      <c r="AS12" s="52"/>
      <c r="AW12" s="51"/>
      <c r="AX12" s="51"/>
      <c r="AY12" s="51"/>
      <c r="AZ12" s="52"/>
      <c r="BD12" s="51"/>
      <c r="BE12" s="51"/>
      <c r="BF12" s="51"/>
      <c r="BG12" s="52"/>
    </row>
    <row r="13" spans="3:60" s="318" customFormat="1">
      <c r="F13" s="258">
        <v>20</v>
      </c>
      <c r="G13" s="51">
        <v>100</v>
      </c>
      <c r="H13" s="279">
        <v>26.309752542361799</v>
      </c>
      <c r="I13" s="280">
        <v>41.766727970047462</v>
      </c>
      <c r="J13" s="51">
        <f t="shared" si="0"/>
        <v>15.456975427685663</v>
      </c>
      <c r="N13" s="51"/>
      <c r="O13" s="51"/>
      <c r="P13" s="51"/>
      <c r="Q13" s="52"/>
      <c r="U13" s="51"/>
      <c r="V13" s="51"/>
      <c r="W13" s="51"/>
      <c r="X13" s="52"/>
      <c r="AB13" s="51"/>
      <c r="AC13" s="51"/>
      <c r="AD13" s="51"/>
      <c r="AE13" s="52"/>
      <c r="AI13" s="51"/>
      <c r="AJ13" s="51"/>
      <c r="AK13" s="51"/>
      <c r="AL13" s="52"/>
      <c r="AP13" s="51"/>
      <c r="AQ13" s="51"/>
      <c r="AR13" s="51"/>
      <c r="AS13" s="52"/>
      <c r="AW13" s="51"/>
      <c r="AX13" s="51"/>
      <c r="AY13" s="51"/>
      <c r="AZ13" s="52"/>
      <c r="BD13" s="51"/>
      <c r="BE13" s="51"/>
      <c r="BF13" s="51"/>
      <c r="BG13" s="52"/>
    </row>
    <row r="14" spans="3:60" s="318" customFormat="1">
      <c r="F14" s="258">
        <v>20</v>
      </c>
      <c r="G14" s="51">
        <v>100</v>
      </c>
      <c r="H14" s="281">
        <v>25.116635120906544</v>
      </c>
      <c r="I14" s="282">
        <v>39.739611133313858</v>
      </c>
      <c r="J14" s="51">
        <f t="shared" si="0"/>
        <v>14.622976012407314</v>
      </c>
      <c r="N14" s="51"/>
      <c r="O14" s="51"/>
      <c r="P14" s="51"/>
      <c r="Q14" s="52"/>
      <c r="U14" s="51"/>
      <c r="V14" s="51"/>
      <c r="W14" s="51"/>
      <c r="X14" s="52"/>
      <c r="AB14" s="51"/>
      <c r="AC14" s="51"/>
      <c r="AD14" s="51"/>
      <c r="AE14" s="52"/>
      <c r="AI14" s="51"/>
      <c r="AJ14" s="51"/>
      <c r="AK14" s="51"/>
      <c r="AL14" s="52"/>
      <c r="AP14" s="51"/>
      <c r="AQ14" s="51"/>
      <c r="AR14" s="51"/>
      <c r="AS14" s="52"/>
      <c r="AW14" s="51"/>
      <c r="AX14" s="51"/>
      <c r="AY14" s="51"/>
      <c r="AZ14" s="52"/>
      <c r="BD14" s="51"/>
      <c r="BE14" s="51"/>
      <c r="BF14" s="51"/>
      <c r="BG14" s="52"/>
    </row>
    <row r="15" spans="3:60" s="318" customFormat="1">
      <c r="D15" s="21">
        <v>42213</v>
      </c>
      <c r="E15" s="318">
        <f>0.1393-0.0072</f>
        <v>0.1321</v>
      </c>
      <c r="F15" s="318">
        <v>20</v>
      </c>
      <c r="G15" s="51">
        <v>100</v>
      </c>
      <c r="H15" s="324">
        <v>26.312919039304202</v>
      </c>
      <c r="I15" s="323">
        <v>44.13815478313893</v>
      </c>
      <c r="J15" s="51">
        <f t="shared" ref="J15" si="1">I15-H15</f>
        <v>17.825235743834728</v>
      </c>
      <c r="N15" s="51"/>
      <c r="O15" s="51"/>
      <c r="P15" s="51"/>
      <c r="Q15" s="52"/>
      <c r="U15" s="51"/>
      <c r="V15" s="51"/>
      <c r="W15" s="51"/>
      <c r="X15" s="52"/>
      <c r="AB15" s="51"/>
      <c r="AC15" s="51"/>
      <c r="AD15" s="51"/>
      <c r="AE15" s="52"/>
      <c r="AI15" s="51"/>
      <c r="AJ15" s="51"/>
      <c r="AK15" s="51"/>
      <c r="AL15" s="52"/>
      <c r="AP15" s="51"/>
      <c r="AQ15" s="51"/>
      <c r="AR15" s="51"/>
      <c r="AS15" s="52"/>
      <c r="AW15" s="51"/>
      <c r="AX15" s="51"/>
      <c r="AY15" s="51"/>
      <c r="AZ15" s="52"/>
      <c r="BD15" s="51"/>
      <c r="BE15" s="51"/>
      <c r="BF15" s="51"/>
      <c r="BG15" s="52"/>
    </row>
    <row r="16" spans="3:60" s="319" customFormat="1">
      <c r="C16" s="319" t="s">
        <v>7</v>
      </c>
      <c r="E16" s="239" t="s">
        <v>53</v>
      </c>
      <c r="G16" s="320"/>
      <c r="H16" s="320"/>
      <c r="I16" s="320"/>
      <c r="J16" s="321"/>
      <c r="N16" s="320"/>
      <c r="O16" s="320"/>
      <c r="P16" s="320"/>
      <c r="Q16" s="321"/>
      <c r="U16" s="320"/>
      <c r="V16" s="320"/>
      <c r="W16" s="320"/>
      <c r="X16" s="321"/>
      <c r="AB16" s="320"/>
      <c r="AC16" s="320"/>
      <c r="AD16" s="320"/>
      <c r="AE16" s="321"/>
      <c r="AI16" s="320"/>
      <c r="AJ16" s="320"/>
      <c r="AK16" s="320"/>
      <c r="AL16" s="321"/>
      <c r="AP16" s="320"/>
      <c r="AQ16" s="320"/>
      <c r="AR16" s="320"/>
      <c r="AS16" s="321"/>
      <c r="AW16" s="320"/>
      <c r="AX16" s="320"/>
      <c r="AY16" s="320"/>
      <c r="AZ16" s="321"/>
      <c r="BD16" s="320"/>
      <c r="BE16" s="320"/>
      <c r="BF16" s="320"/>
      <c r="BG16" s="321"/>
    </row>
    <row r="17" spans="3:102">
      <c r="C17" s="258"/>
      <c r="E17" s="258"/>
      <c r="F17" s="258"/>
      <c r="G17" s="51"/>
      <c r="H17" s="258"/>
      <c r="I17" s="258"/>
      <c r="J17" s="51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</row>
    <row r="18" spans="3:102">
      <c r="C18" s="258" t="s">
        <v>7</v>
      </c>
      <c r="D18" s="258"/>
      <c r="E18" s="1" t="s">
        <v>51</v>
      </c>
      <c r="F18" s="258"/>
      <c r="G18" s="51"/>
      <c r="H18" s="51"/>
      <c r="I18" s="51"/>
      <c r="J18" s="51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1">
        <v>42208</v>
      </c>
      <c r="AA18" s="258"/>
      <c r="AB18" s="258"/>
      <c r="AC18" s="258"/>
      <c r="AD18" s="258"/>
      <c r="AE18" s="258"/>
      <c r="AF18" s="258"/>
      <c r="AG18" s="21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Q18" s="21">
        <v>42212</v>
      </c>
      <c r="CE18">
        <f>CE19*8</f>
        <v>0.42080000000000001</v>
      </c>
    </row>
    <row r="19" spans="3:102" ht="18">
      <c r="C19" s="258"/>
      <c r="D19" s="258"/>
      <c r="F19" s="258" t="s">
        <v>2</v>
      </c>
      <c r="G19" s="51" t="s">
        <v>3</v>
      </c>
      <c r="H19" s="51" t="s">
        <v>4</v>
      </c>
      <c r="I19" s="51" t="s">
        <v>5</v>
      </c>
      <c r="J19" s="52" t="s">
        <v>6</v>
      </c>
      <c r="K19" s="258"/>
      <c r="L19" s="258"/>
      <c r="M19" s="258"/>
      <c r="N19" s="324" t="s">
        <v>2</v>
      </c>
      <c r="O19" s="51" t="s">
        <v>3</v>
      </c>
      <c r="P19" s="51" t="s">
        <v>4</v>
      </c>
      <c r="Q19" s="51" t="s">
        <v>5</v>
      </c>
      <c r="R19" s="52" t="s">
        <v>6</v>
      </c>
      <c r="S19" s="258"/>
      <c r="T19" s="258"/>
      <c r="U19" s="258"/>
      <c r="V19" s="258"/>
      <c r="W19" s="258"/>
      <c r="X19" s="2"/>
      <c r="Y19" s="258"/>
      <c r="Z19" s="258">
        <f>0.0559-0.0012</f>
        <v>5.4699999999999999E-2</v>
      </c>
      <c r="AA19" s="258" t="s">
        <v>2</v>
      </c>
      <c r="AB19" s="258" t="s">
        <v>3</v>
      </c>
      <c r="AC19" s="258" t="s">
        <v>4</v>
      </c>
      <c r="AD19" s="258" t="s">
        <v>5</v>
      </c>
      <c r="AE19" s="2" t="s">
        <v>6</v>
      </c>
      <c r="AF19" s="258"/>
      <c r="AG19" s="258">
        <f>0.0532-0</f>
        <v>5.3199999999999997E-2</v>
      </c>
      <c r="AH19" s="258" t="s">
        <v>2</v>
      </c>
      <c r="AI19" s="258" t="s">
        <v>3</v>
      </c>
      <c r="AJ19" s="258" t="s">
        <v>4</v>
      </c>
      <c r="AK19" s="258" t="s">
        <v>5</v>
      </c>
      <c r="AL19" s="2" t="s">
        <v>6</v>
      </c>
      <c r="AM19" s="258"/>
      <c r="AN19" s="258">
        <f>0.0614-0.0059</f>
        <v>5.5500000000000001E-2</v>
      </c>
      <c r="AO19" s="258" t="s">
        <v>2</v>
      </c>
      <c r="AP19" s="258" t="s">
        <v>3</v>
      </c>
      <c r="AQ19" s="258" t="s">
        <v>4</v>
      </c>
      <c r="AR19" s="258" t="s">
        <v>5</v>
      </c>
      <c r="AS19" s="2" t="s">
        <v>6</v>
      </c>
      <c r="AT19" s="258"/>
      <c r="AU19" s="258">
        <f>0.0542-0.0002</f>
        <v>5.3999999999999999E-2</v>
      </c>
      <c r="AV19" s="258" t="s">
        <v>2</v>
      </c>
      <c r="AW19" s="258" t="s">
        <v>3</v>
      </c>
      <c r="AX19" s="258" t="s">
        <v>4</v>
      </c>
      <c r="AY19" s="258" t="s">
        <v>5</v>
      </c>
      <c r="AZ19" s="2" t="s">
        <v>6</v>
      </c>
      <c r="BA19" s="258"/>
      <c r="BC19" s="258" t="s">
        <v>2</v>
      </c>
      <c r="BD19" s="258" t="s">
        <v>3</v>
      </c>
      <c r="BE19" s="258" t="s">
        <v>4</v>
      </c>
      <c r="BF19" s="258" t="s">
        <v>5</v>
      </c>
      <c r="BG19" s="2" t="s">
        <v>6</v>
      </c>
      <c r="BH19" s="258"/>
      <c r="BK19" s="292" t="s">
        <v>2</v>
      </c>
      <c r="BL19" s="292" t="s">
        <v>3</v>
      </c>
      <c r="BM19" s="292" t="s">
        <v>4</v>
      </c>
      <c r="BN19" s="292" t="s">
        <v>5</v>
      </c>
      <c r="BO19" s="2" t="s">
        <v>6</v>
      </c>
      <c r="BP19" s="292"/>
      <c r="BR19" s="303" t="s">
        <v>2</v>
      </c>
      <c r="BS19" s="303" t="s">
        <v>3</v>
      </c>
      <c r="BT19" s="303" t="s">
        <v>4</v>
      </c>
      <c r="BU19" s="303" t="s">
        <v>5</v>
      </c>
      <c r="BV19" s="2" t="s">
        <v>6</v>
      </c>
      <c r="BY19" s="304" t="s">
        <v>2</v>
      </c>
      <c r="BZ19" s="304" t="s">
        <v>3</v>
      </c>
      <c r="CA19" s="304" t="s">
        <v>4</v>
      </c>
      <c r="CB19" s="304" t="s">
        <v>5</v>
      </c>
      <c r="CC19" s="2" t="s">
        <v>6</v>
      </c>
      <c r="CE19" s="308">
        <f>0.055-0.0024</f>
        <v>5.2600000000000001E-2</v>
      </c>
      <c r="CF19" s="308" t="s">
        <v>2</v>
      </c>
      <c r="CG19" s="308" t="s">
        <v>3</v>
      </c>
      <c r="CH19" s="308" t="s">
        <v>4</v>
      </c>
      <c r="CI19" s="308" t="s">
        <v>5</v>
      </c>
      <c r="CJ19" s="2" t="s">
        <v>6</v>
      </c>
      <c r="CL19" s="310">
        <f>0.0533-0.0022</f>
        <v>5.11E-2</v>
      </c>
      <c r="CM19" s="310" t="s">
        <v>2</v>
      </c>
      <c r="CN19" s="310" t="s">
        <v>3</v>
      </c>
      <c r="CO19" s="310" t="s">
        <v>4</v>
      </c>
      <c r="CP19" s="310" t="s">
        <v>5</v>
      </c>
      <c r="CQ19" s="2" t="s">
        <v>6</v>
      </c>
      <c r="CS19" s="312">
        <f>0.0554-0.0021</f>
        <v>5.33E-2</v>
      </c>
      <c r="CT19" s="312" t="s">
        <v>2</v>
      </c>
      <c r="CU19" s="312" t="s">
        <v>3</v>
      </c>
      <c r="CV19" s="312" t="s">
        <v>4</v>
      </c>
      <c r="CW19" s="312" t="s">
        <v>5</v>
      </c>
      <c r="CX19" s="2" t="s">
        <v>6</v>
      </c>
    </row>
    <row r="20" spans="3:102" s="318" customFormat="1">
      <c r="D20" s="21">
        <v>42207</v>
      </c>
      <c r="E20" s="258">
        <f>0.073-0.0172</f>
        <v>5.5799999999999995E-2</v>
      </c>
      <c r="F20" s="318">
        <v>20</v>
      </c>
      <c r="G20" s="51">
        <v>100</v>
      </c>
      <c r="H20" s="268">
        <v>25.747606202817337</v>
      </c>
      <c r="I20" s="267">
        <v>29.721094204252601</v>
      </c>
      <c r="J20" s="51">
        <f t="shared" ref="J20:J33" si="2">I20-H20</f>
        <v>3.973488001435264</v>
      </c>
      <c r="L20" s="21">
        <v>42213</v>
      </c>
      <c r="M20" s="324"/>
      <c r="N20" s="324"/>
      <c r="O20" s="324"/>
      <c r="P20" s="326"/>
      <c r="Q20" s="325"/>
      <c r="R20" s="324"/>
      <c r="S20" s="330"/>
      <c r="X20" s="2"/>
      <c r="AE20" s="2"/>
      <c r="AL20" s="2"/>
      <c r="AS20" s="2"/>
      <c r="AZ20" s="2"/>
      <c r="BG20" s="2"/>
      <c r="BO20" s="2"/>
      <c r="BV20" s="2"/>
      <c r="CC20" s="2"/>
      <c r="CJ20" s="2"/>
      <c r="CQ20" s="2"/>
      <c r="CX20" s="2"/>
    </row>
    <row r="21" spans="3:102" s="318" customFormat="1">
      <c r="E21" s="318">
        <f>0.073-0.0189</f>
        <v>5.4099999999999995E-2</v>
      </c>
      <c r="F21" s="258">
        <v>20</v>
      </c>
      <c r="G21" s="258">
        <v>100</v>
      </c>
      <c r="H21" s="270">
        <v>26.299880522482429</v>
      </c>
      <c r="I21" s="269">
        <v>34.494308948177625</v>
      </c>
      <c r="J21" s="258">
        <f t="shared" si="2"/>
        <v>8.1944284256951967</v>
      </c>
      <c r="L21" s="324"/>
      <c r="M21" s="324">
        <f>0.0597-0.0027</f>
        <v>5.7000000000000002E-2</v>
      </c>
      <c r="N21" s="324">
        <v>20</v>
      </c>
      <c r="O21" s="324">
        <v>100</v>
      </c>
      <c r="P21" s="328">
        <v>26.320649017134258</v>
      </c>
      <c r="Q21" s="327">
        <v>30.694140088208911</v>
      </c>
      <c r="R21" s="328">
        <f>Q21-P21</f>
        <v>4.3734910710746533</v>
      </c>
      <c r="S21" s="332"/>
      <c r="X21" s="2"/>
      <c r="AE21" s="2"/>
      <c r="AL21" s="2"/>
      <c r="AS21" s="2"/>
      <c r="AZ21" s="2"/>
      <c r="BG21" s="2"/>
      <c r="BO21" s="2"/>
      <c r="BV21" s="2"/>
      <c r="CC21" s="2"/>
      <c r="CJ21" s="2"/>
      <c r="CQ21" s="2"/>
      <c r="CX21" s="2"/>
    </row>
    <row r="22" spans="3:102" s="318" customFormat="1">
      <c r="E22" s="318">
        <f>0.0759-0.022</f>
        <v>5.3899999999999997E-2</v>
      </c>
      <c r="F22" s="258">
        <v>20</v>
      </c>
      <c r="G22" s="258">
        <v>100</v>
      </c>
      <c r="H22" s="272">
        <v>26.300625580586534</v>
      </c>
      <c r="I22" s="271">
        <v>33.126661665836671</v>
      </c>
      <c r="J22" s="258">
        <f t="shared" si="2"/>
        <v>6.8260360852501378</v>
      </c>
      <c r="L22" s="324"/>
      <c r="M22" s="324">
        <f>0.0594-0.0042</f>
        <v>5.5199999999999999E-2</v>
      </c>
      <c r="N22" s="324">
        <v>20</v>
      </c>
      <c r="O22" s="324">
        <v>100</v>
      </c>
      <c r="P22" s="330">
        <v>26.319065768663048</v>
      </c>
      <c r="Q22" s="329">
        <v>29.986707418364738</v>
      </c>
      <c r="R22" s="324">
        <f t="shared" ref="R22" si="3">Q22-P22</f>
        <v>3.6676416497016895</v>
      </c>
      <c r="S22" s="332"/>
      <c r="X22" s="2"/>
      <c r="AE22" s="2"/>
      <c r="AL22" s="2"/>
      <c r="AS22" s="2"/>
      <c r="AZ22" s="2"/>
      <c r="BG22" s="2"/>
      <c r="BO22" s="2"/>
      <c r="BV22" s="2"/>
      <c r="CC22" s="2"/>
      <c r="CJ22" s="2"/>
      <c r="CQ22" s="2"/>
      <c r="CX22" s="2"/>
    </row>
    <row r="23" spans="3:102" s="318" customFormat="1">
      <c r="D23" s="21">
        <v>42208</v>
      </c>
      <c r="E23" s="318">
        <f>0.0559-0.0012</f>
        <v>5.4699999999999999E-2</v>
      </c>
      <c r="F23" s="258">
        <v>20</v>
      </c>
      <c r="G23" s="258">
        <v>100</v>
      </c>
      <c r="H23" s="284">
        <v>25.629700757843295</v>
      </c>
      <c r="I23" s="283">
        <v>29.38907768661246</v>
      </c>
      <c r="J23" s="258">
        <f t="shared" si="2"/>
        <v>3.7593769287691643</v>
      </c>
      <c r="L23" s="324"/>
      <c r="M23" s="324">
        <f>0.0619-0.0028</f>
        <v>5.91E-2</v>
      </c>
      <c r="N23" s="324">
        <v>20</v>
      </c>
      <c r="O23" s="324">
        <v>100</v>
      </c>
      <c r="P23" s="334">
        <v>26.32027648808219</v>
      </c>
      <c r="Q23" s="333">
        <v>31.094143157848297</v>
      </c>
      <c r="R23" s="334">
        <f>Q23-P23</f>
        <v>4.7738666697661074</v>
      </c>
      <c r="S23" s="332"/>
      <c r="X23" s="2"/>
      <c r="AE23" s="2"/>
      <c r="AL23" s="2"/>
      <c r="AS23" s="2"/>
      <c r="AZ23" s="2"/>
      <c r="BG23" s="2"/>
      <c r="BO23" s="2"/>
      <c r="BV23" s="2"/>
      <c r="CC23" s="2"/>
      <c r="CJ23" s="2"/>
      <c r="CQ23" s="2"/>
      <c r="CX23" s="2"/>
    </row>
    <row r="24" spans="3:102" s="318" customFormat="1">
      <c r="E24" s="318">
        <f>0.0532-0</f>
        <v>5.3199999999999997E-2</v>
      </c>
      <c r="F24" s="258">
        <v>20</v>
      </c>
      <c r="G24" s="258">
        <v>100</v>
      </c>
      <c r="H24" s="286">
        <v>25.630911477262465</v>
      </c>
      <c r="I24" s="285">
        <v>28.871727965577115</v>
      </c>
      <c r="J24" s="258">
        <f t="shared" si="2"/>
        <v>3.2408164883146497</v>
      </c>
      <c r="L24" s="324"/>
      <c r="M24" s="334">
        <f>0.0627-0.0053</f>
        <v>5.7400000000000007E-2</v>
      </c>
      <c r="N24" s="334">
        <v>20</v>
      </c>
      <c r="O24" s="334">
        <v>100</v>
      </c>
      <c r="P24" s="336">
        <v>25.981647579768165</v>
      </c>
      <c r="Q24" s="335">
        <v>30.079374020062339</v>
      </c>
      <c r="R24" s="334">
        <f t="shared" ref="R24:R28" si="4">Q24-P24</f>
        <v>4.0977264402941742</v>
      </c>
      <c r="X24" s="2"/>
      <c r="AE24" s="2"/>
      <c r="AL24" s="2"/>
      <c r="AS24" s="2"/>
      <c r="AZ24" s="2"/>
      <c r="BG24" s="2"/>
      <c r="BO24" s="2"/>
      <c r="BV24" s="2"/>
      <c r="CC24" s="2"/>
      <c r="CJ24" s="2"/>
      <c r="CQ24" s="2"/>
      <c r="CX24" s="2"/>
    </row>
    <row r="25" spans="3:102" s="318" customFormat="1">
      <c r="E25" s="318">
        <f>0.0614-0.0059</f>
        <v>5.5500000000000001E-2</v>
      </c>
      <c r="F25" s="258">
        <v>20</v>
      </c>
      <c r="G25" s="258">
        <v>100</v>
      </c>
      <c r="H25" s="288">
        <v>24.051388296567701</v>
      </c>
      <c r="I25" s="287">
        <v>28.535520496101402</v>
      </c>
      <c r="J25" s="258">
        <f t="shared" si="2"/>
        <v>4.4841321995337005</v>
      </c>
      <c r="M25" s="355">
        <f>0.051</f>
        <v>5.0999999999999997E-2</v>
      </c>
      <c r="N25" s="355">
        <v>20</v>
      </c>
      <c r="O25" s="355">
        <v>100</v>
      </c>
      <c r="P25" s="355">
        <v>24.789647745469075</v>
      </c>
      <c r="Q25" s="355">
        <v>28.116425312544418</v>
      </c>
      <c r="R25" s="355">
        <f t="shared" si="4"/>
        <v>3.326777567075343</v>
      </c>
      <c r="X25" s="2"/>
      <c r="AE25" s="2"/>
      <c r="AL25" s="2"/>
      <c r="AS25" s="2"/>
      <c r="AZ25" s="2"/>
      <c r="BG25" s="2"/>
      <c r="BO25" s="2"/>
      <c r="BV25" s="2"/>
      <c r="CC25" s="2"/>
      <c r="CJ25" s="2"/>
      <c r="CQ25" s="2"/>
      <c r="CX25" s="2"/>
    </row>
    <row r="26" spans="3:102" s="318" customFormat="1">
      <c r="E26" s="318">
        <v>5.3999999999999999E-2</v>
      </c>
      <c r="F26" s="258">
        <v>20</v>
      </c>
      <c r="G26" s="258">
        <v>100</v>
      </c>
      <c r="H26" s="290">
        <v>25.631563403103549</v>
      </c>
      <c r="I26" s="289">
        <v>31.088462089804541</v>
      </c>
      <c r="J26" s="258">
        <f t="shared" si="2"/>
        <v>5.4568986867009919</v>
      </c>
      <c r="M26" s="355">
        <f>0.0772-0.0155</f>
        <v>6.1700000000000005E-2</v>
      </c>
      <c r="N26" s="355">
        <v>20</v>
      </c>
      <c r="O26" s="355">
        <v>100</v>
      </c>
      <c r="P26" s="355">
        <v>25.975221453620275</v>
      </c>
      <c r="Q26" s="355">
        <v>29.388146363982333</v>
      </c>
      <c r="R26" s="355">
        <f t="shared" si="4"/>
        <v>3.412924910362058</v>
      </c>
      <c r="X26" s="2"/>
      <c r="AE26" s="2"/>
      <c r="AL26" s="2"/>
      <c r="AS26" s="2"/>
      <c r="AZ26" s="2"/>
      <c r="BG26" s="2"/>
      <c r="BO26" s="2"/>
      <c r="BV26" s="2"/>
      <c r="CC26" s="2"/>
      <c r="CJ26" s="2"/>
      <c r="CQ26" s="2"/>
      <c r="CX26" s="2"/>
    </row>
    <row r="27" spans="3:102" s="318" customFormat="1">
      <c r="E27" s="258">
        <f>0.0689-0.0164</f>
        <v>5.2500000000000005E-2</v>
      </c>
      <c r="F27" s="258">
        <v>20</v>
      </c>
      <c r="G27" s="258">
        <v>100</v>
      </c>
      <c r="H27" s="292">
        <v>24.105405009115046</v>
      </c>
      <c r="I27" s="291">
        <v>28.531702073317899</v>
      </c>
      <c r="J27" s="258">
        <f t="shared" si="2"/>
        <v>4.4262970642028527</v>
      </c>
      <c r="M27" s="355">
        <v>5.2600000000000001E-2</v>
      </c>
      <c r="N27" s="355">
        <v>20</v>
      </c>
      <c r="O27" s="355">
        <v>100</v>
      </c>
      <c r="P27" s="355">
        <v>25.981647579768165</v>
      </c>
      <c r="Q27" s="355">
        <v>29.583910380834972</v>
      </c>
      <c r="R27" s="355">
        <f t="shared" si="4"/>
        <v>3.6022628010668072</v>
      </c>
      <c r="X27" s="2"/>
      <c r="AE27" s="2"/>
      <c r="AL27" s="2"/>
      <c r="AS27" s="2"/>
      <c r="AZ27" s="2"/>
      <c r="BG27" s="2"/>
      <c r="BO27" s="2"/>
      <c r="BV27" s="2"/>
      <c r="CC27" s="2"/>
      <c r="CJ27" s="2"/>
      <c r="CQ27" s="2"/>
      <c r="CX27" s="2"/>
    </row>
    <row r="28" spans="3:102" s="318" customFormat="1">
      <c r="E28" s="292">
        <f>0.0546-0.0007</f>
        <v>5.3900000000000003E-2</v>
      </c>
      <c r="F28" s="292">
        <v>20</v>
      </c>
      <c r="G28" s="292">
        <v>100</v>
      </c>
      <c r="H28" s="294">
        <v>25.470723984880685</v>
      </c>
      <c r="I28" s="293">
        <v>31.261222437693032</v>
      </c>
      <c r="J28" s="292">
        <f t="shared" si="2"/>
        <v>5.7904984528123471</v>
      </c>
      <c r="K28" s="318">
        <f>E28*8</f>
        <v>0.43120000000000003</v>
      </c>
      <c r="M28" s="355">
        <v>5.11E-2</v>
      </c>
      <c r="N28" s="355">
        <v>20</v>
      </c>
      <c r="O28" s="355">
        <v>100</v>
      </c>
      <c r="P28" s="355">
        <v>25.973731337412087</v>
      </c>
      <c r="Q28" s="355">
        <v>30.578842346599256</v>
      </c>
      <c r="R28" s="355">
        <f t="shared" si="4"/>
        <v>4.6051110091871692</v>
      </c>
      <c r="X28" s="2"/>
      <c r="AE28" s="2"/>
      <c r="AL28" s="2"/>
      <c r="AS28" s="2"/>
      <c r="AZ28" s="2"/>
      <c r="BG28" s="2"/>
      <c r="BO28" s="2"/>
      <c r="BV28" s="2"/>
      <c r="CC28" s="2"/>
      <c r="CJ28" s="2"/>
      <c r="CQ28" s="2"/>
      <c r="CX28" s="2"/>
    </row>
    <row r="29" spans="3:102" s="318" customFormat="1">
      <c r="D29" s="21">
        <v>42212</v>
      </c>
      <c r="E29" s="303">
        <f>0.051</f>
        <v>5.0999999999999997E-2</v>
      </c>
      <c r="F29" s="303">
        <v>20</v>
      </c>
      <c r="G29" s="303">
        <v>100</v>
      </c>
      <c r="H29" s="306">
        <v>24.789647745469075</v>
      </c>
      <c r="I29" s="306">
        <v>28.116425312544418</v>
      </c>
      <c r="J29" s="306">
        <f t="shared" si="2"/>
        <v>3.326777567075343</v>
      </c>
      <c r="M29" s="324">
        <f>0.065-0.0082</f>
        <v>5.6800000000000003E-2</v>
      </c>
      <c r="N29" s="324">
        <v>20</v>
      </c>
      <c r="O29" s="324">
        <v>100</v>
      </c>
      <c r="P29" s="332">
        <v>26.21705012056302</v>
      </c>
      <c r="Q29" s="331">
        <v>31.266065315369683</v>
      </c>
      <c r="R29" s="324">
        <f>Q29-P29</f>
        <v>5.0490151948066639</v>
      </c>
      <c r="X29" s="2"/>
      <c r="AE29" s="2"/>
      <c r="AL29" s="2"/>
      <c r="AS29" s="2"/>
      <c r="AZ29" s="2"/>
      <c r="BG29" s="2"/>
      <c r="BO29" s="2"/>
      <c r="BV29" s="2"/>
      <c r="CC29" s="2"/>
      <c r="CJ29" s="2"/>
      <c r="CQ29" s="2"/>
      <c r="CX29" s="2"/>
    </row>
    <row r="30" spans="3:102" s="318" customFormat="1">
      <c r="E30" s="304">
        <f>0.0772-0.0155</f>
        <v>6.1700000000000005E-2</v>
      </c>
      <c r="F30" s="304">
        <v>20</v>
      </c>
      <c r="G30" s="304">
        <v>100</v>
      </c>
      <c r="H30" s="308">
        <v>25.975221453620275</v>
      </c>
      <c r="I30" s="307">
        <v>29.388146363982333</v>
      </c>
      <c r="J30" s="304">
        <f t="shared" si="2"/>
        <v>3.412924910362058</v>
      </c>
      <c r="K30" s="326"/>
      <c r="M30" s="336"/>
      <c r="Q30" s="2"/>
      <c r="X30" s="2"/>
      <c r="AE30" s="2"/>
      <c r="AL30" s="2"/>
      <c r="AS30" s="2"/>
      <c r="AZ30" s="2"/>
      <c r="BG30" s="2"/>
      <c r="BO30" s="2"/>
      <c r="BV30" s="2"/>
      <c r="CC30" s="2"/>
      <c r="CJ30" s="2"/>
      <c r="CQ30" s="2"/>
      <c r="CX30" s="2"/>
    </row>
    <row r="31" spans="3:102" s="318" customFormat="1">
      <c r="E31" s="318">
        <v>5.2600000000000001E-2</v>
      </c>
      <c r="F31" s="308">
        <v>20</v>
      </c>
      <c r="G31" s="308">
        <v>100</v>
      </c>
      <c r="H31" s="310">
        <v>25.981647579768165</v>
      </c>
      <c r="I31" s="309">
        <v>29.583910380834972</v>
      </c>
      <c r="J31" s="308">
        <f t="shared" si="2"/>
        <v>3.6022628010668072</v>
      </c>
      <c r="K31" s="326"/>
      <c r="M31" s="336"/>
      <c r="Q31" s="2"/>
      <c r="X31" s="2"/>
      <c r="AE31" s="2"/>
      <c r="AL31" s="2"/>
      <c r="AS31" s="2"/>
      <c r="AZ31" s="2"/>
      <c r="BG31" s="2"/>
      <c r="BO31" s="2"/>
      <c r="BV31" s="2"/>
      <c r="CC31" s="2"/>
      <c r="CJ31" s="2"/>
      <c r="CQ31" s="2"/>
      <c r="CX31" s="2"/>
    </row>
    <row r="32" spans="3:102" s="318" customFormat="1">
      <c r="E32" s="318">
        <v>5.11E-2</v>
      </c>
      <c r="F32" s="318">
        <v>20</v>
      </c>
      <c r="G32" s="318">
        <v>100</v>
      </c>
      <c r="H32" s="318">
        <v>25.973731337412087</v>
      </c>
      <c r="I32" s="318">
        <v>30.578842346599256</v>
      </c>
      <c r="J32" s="318">
        <f t="shared" si="2"/>
        <v>4.6051110091871692</v>
      </c>
      <c r="K32" s="326"/>
      <c r="M32" s="336"/>
      <c r="Q32" s="2"/>
      <c r="X32" s="2"/>
      <c r="AE32" s="2"/>
      <c r="AL32" s="2"/>
      <c r="AS32" s="2"/>
      <c r="AZ32" s="2"/>
      <c r="BG32" s="2"/>
      <c r="BO32" s="2"/>
      <c r="BV32" s="2"/>
      <c r="CC32" s="2"/>
      <c r="CJ32" s="2"/>
      <c r="CQ32" s="2"/>
      <c r="CX32" s="2"/>
    </row>
    <row r="33" spans="3:102" s="318" customFormat="1">
      <c r="E33" s="318">
        <v>5.33E-2</v>
      </c>
      <c r="F33" s="312">
        <v>20</v>
      </c>
      <c r="G33" s="312">
        <v>100</v>
      </c>
      <c r="H33" s="314">
        <v>25.96357992074369</v>
      </c>
      <c r="I33" s="313">
        <v>28.53943205114793</v>
      </c>
      <c r="J33" s="312">
        <f t="shared" si="2"/>
        <v>2.5758521304042397</v>
      </c>
      <c r="K33" s="326"/>
      <c r="M33" s="336"/>
      <c r="X33" s="2"/>
      <c r="AE33" s="2"/>
      <c r="AL33" s="2"/>
      <c r="AS33" s="2"/>
      <c r="AZ33" s="2"/>
      <c r="BG33" s="2"/>
      <c r="BO33" s="2"/>
      <c r="BV33" s="2"/>
      <c r="CC33" s="2"/>
      <c r="CJ33" s="2"/>
      <c r="CQ33" s="2"/>
      <c r="CX33" s="2"/>
    </row>
    <row r="34" spans="3:102">
      <c r="C34" s="258"/>
      <c r="E34" s="258"/>
      <c r="F34" s="258">
        <v>20</v>
      </c>
      <c r="K34" s="284"/>
      <c r="L34" s="258"/>
      <c r="M34" s="336"/>
      <c r="R34" s="284"/>
      <c r="S34" s="258"/>
      <c r="Y34" s="284"/>
      <c r="Z34" s="258"/>
      <c r="AF34" s="258"/>
      <c r="AG34" s="258"/>
      <c r="AM34" s="258"/>
      <c r="AN34" s="258"/>
      <c r="AT34" s="258"/>
      <c r="AU34" s="258"/>
      <c r="BA34" s="258"/>
      <c r="BB34" s="258"/>
      <c r="BH34" s="258"/>
      <c r="BJ34" s="292"/>
      <c r="BP34" s="292"/>
      <c r="BQ34" s="303"/>
      <c r="BX34" s="304"/>
      <c r="CD34" s="308"/>
      <c r="CE34" s="308"/>
      <c r="CL34" s="310"/>
      <c r="CM34" s="310">
        <v>20</v>
      </c>
      <c r="CN34" s="310">
        <v>100</v>
      </c>
      <c r="CO34" s="312">
        <v>25.973731337412087</v>
      </c>
      <c r="CP34" s="311">
        <v>30.578842346599256</v>
      </c>
      <c r="CQ34" s="310">
        <f>CP34-CO34</f>
        <v>4.6051110091871692</v>
      </c>
      <c r="CS34" s="312"/>
    </row>
    <row r="35" spans="3:102">
      <c r="C35" s="258" t="s">
        <v>7</v>
      </c>
      <c r="D35" s="258"/>
      <c r="E35" s="250" t="s">
        <v>52</v>
      </c>
      <c r="F35" s="258"/>
      <c r="G35" s="51"/>
      <c r="H35" s="258"/>
      <c r="I35" s="258"/>
      <c r="J35" s="258"/>
      <c r="K35" s="258"/>
      <c r="L35" s="258"/>
      <c r="M35" s="336"/>
      <c r="N35" s="258"/>
      <c r="O35" s="258"/>
      <c r="P35" s="258"/>
      <c r="Q35" s="258"/>
      <c r="R35" s="258"/>
      <c r="S35" s="21"/>
      <c r="T35" s="258"/>
      <c r="U35" s="258"/>
      <c r="V35" s="258"/>
      <c r="W35" s="258"/>
      <c r="X35" s="258"/>
      <c r="Y35" s="258"/>
      <c r="Z35" s="21">
        <v>42212</v>
      </c>
      <c r="AA35" s="258"/>
      <c r="AB35" s="258"/>
      <c r="AC35" s="258"/>
      <c r="AD35" s="258"/>
      <c r="AE35" s="258"/>
      <c r="AF35" s="258"/>
      <c r="AG35" s="21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T35" s="306"/>
      <c r="BU35" s="305"/>
      <c r="BV35" s="306"/>
    </row>
    <row r="36" spans="3:102" ht="18">
      <c r="C36" s="258"/>
      <c r="D36" s="258"/>
      <c r="F36" s="258" t="s">
        <v>2</v>
      </c>
      <c r="G36" s="51" t="s">
        <v>3</v>
      </c>
      <c r="H36" s="51" t="s">
        <v>4</v>
      </c>
      <c r="I36" s="51" t="s">
        <v>5</v>
      </c>
      <c r="J36" s="52" t="s">
        <v>6</v>
      </c>
      <c r="K36" s="258"/>
      <c r="R36" s="258"/>
      <c r="Y36" s="258"/>
      <c r="AF36" s="258"/>
      <c r="AM36" s="258"/>
      <c r="AN36" s="258"/>
      <c r="AO36" s="258"/>
      <c r="AP36" s="258"/>
      <c r="AQ36" s="258"/>
      <c r="AR36" s="258"/>
      <c r="AS36" s="2"/>
      <c r="AT36" s="258"/>
      <c r="AU36" s="258"/>
      <c r="AV36" s="258"/>
      <c r="AW36" s="258"/>
      <c r="AX36" s="258"/>
      <c r="AY36" s="258"/>
      <c r="AZ36" s="2"/>
      <c r="BA36" s="258"/>
      <c r="BB36" s="258"/>
      <c r="BC36" s="258"/>
      <c r="BD36" s="258"/>
      <c r="BE36" s="258"/>
      <c r="BF36" s="258"/>
      <c r="BG36" s="2"/>
      <c r="BH36" s="258"/>
    </row>
    <row r="37" spans="3:102">
      <c r="C37" s="258"/>
      <c r="D37" s="21">
        <v>42208</v>
      </c>
      <c r="E37" s="258">
        <f>0.06-0.0123</f>
        <v>4.7699999999999999E-2</v>
      </c>
      <c r="F37" s="258">
        <v>20</v>
      </c>
      <c r="G37" s="51">
        <v>100</v>
      </c>
      <c r="H37" s="296">
        <v>25.981740712031161</v>
      </c>
      <c r="I37" s="295">
        <v>30.748436197545299</v>
      </c>
      <c r="J37" s="51">
        <f t="shared" ref="J37:J48" si="5">I37-H37</f>
        <v>4.7666954855141377</v>
      </c>
      <c r="K37" s="298"/>
      <c r="R37" s="258"/>
      <c r="Y37" s="258"/>
      <c r="AF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</row>
    <row r="38" spans="3:102">
      <c r="C38" s="258"/>
      <c r="D38" s="258"/>
      <c r="E38" s="258">
        <f>0.047-0.0017</f>
        <v>4.53E-2</v>
      </c>
      <c r="F38" s="258">
        <v>20</v>
      </c>
      <c r="G38" s="258">
        <v>100</v>
      </c>
      <c r="H38" s="298">
        <v>25.981740712031161</v>
      </c>
      <c r="I38" s="297">
        <v>30.072202835810341</v>
      </c>
      <c r="J38" s="258">
        <f t="shared" si="5"/>
        <v>4.0904621237791794</v>
      </c>
      <c r="K38" s="356">
        <f>AVERAGE(J37:J38)</f>
        <v>4.4285788046466585</v>
      </c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Y38" s="258"/>
      <c r="Z38" s="258"/>
      <c r="AA38" s="258"/>
      <c r="AB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</row>
    <row r="39" spans="3:102">
      <c r="E39" s="258">
        <f>0.0554-0.009</f>
        <v>4.6399999999999997E-2</v>
      </c>
      <c r="F39" s="258">
        <v>20</v>
      </c>
      <c r="G39" s="258">
        <v>100</v>
      </c>
      <c r="H39" s="300">
        <v>24.431088532870323</v>
      </c>
      <c r="I39" s="299">
        <v>27.341192355227022</v>
      </c>
      <c r="J39" s="300">
        <f t="shared" si="5"/>
        <v>2.9101038223566995</v>
      </c>
    </row>
    <row r="40" spans="3:102">
      <c r="D40" s="21">
        <v>42212</v>
      </c>
      <c r="E40" s="258">
        <f>0.0493-0.0001</f>
        <v>4.9199999999999994E-2</v>
      </c>
      <c r="F40" s="258">
        <v>20</v>
      </c>
      <c r="G40" s="258">
        <v>100</v>
      </c>
      <c r="H40" s="316">
        <v>25.605300104933981</v>
      </c>
      <c r="I40" s="315">
        <v>27.332531054766839</v>
      </c>
      <c r="J40" s="316">
        <f t="shared" si="5"/>
        <v>1.7272309498328582</v>
      </c>
    </row>
    <row r="41" spans="3:102">
      <c r="E41" s="258">
        <f>0.0516-0.0023</f>
        <v>4.9299999999999997E-2</v>
      </c>
      <c r="F41" s="258">
        <v>20</v>
      </c>
      <c r="G41" s="258">
        <v>100</v>
      </c>
      <c r="H41" s="318">
        <v>26.302674490372809</v>
      </c>
      <c r="I41" s="317">
        <v>29.841234823538937</v>
      </c>
      <c r="J41" s="258">
        <f t="shared" si="5"/>
        <v>3.5385603331661279</v>
      </c>
    </row>
    <row r="42" spans="3:102">
      <c r="D42" s="21">
        <v>42213</v>
      </c>
      <c r="E42" s="334">
        <f>0.0535-0.0039</f>
        <v>4.9599999999999998E-2</v>
      </c>
      <c r="F42" s="334">
        <v>20</v>
      </c>
      <c r="G42" s="334">
        <v>100</v>
      </c>
      <c r="H42" s="338">
        <v>26.309845674624778</v>
      </c>
      <c r="I42" s="337">
        <v>28.195494603842185</v>
      </c>
      <c r="J42" s="334">
        <f t="shared" si="5"/>
        <v>1.8856489292174068</v>
      </c>
    </row>
    <row r="43" spans="3:102">
      <c r="E43" s="334">
        <f>0.0511-0.0029</f>
        <v>4.82E-2</v>
      </c>
      <c r="F43" s="334">
        <v>20</v>
      </c>
      <c r="G43" s="334">
        <v>100</v>
      </c>
      <c r="H43" s="340">
        <v>26.318600107347983</v>
      </c>
      <c r="I43" s="339">
        <v>28.88057553056332</v>
      </c>
      <c r="J43" s="334">
        <f t="shared" si="5"/>
        <v>2.5619754232153369</v>
      </c>
      <c r="K43" s="342"/>
    </row>
    <row r="44" spans="3:102">
      <c r="E44" s="334">
        <f>0.0531-0.0028</f>
        <v>5.0300000000000004E-2</v>
      </c>
      <c r="F44" s="334">
        <v>20</v>
      </c>
      <c r="G44" s="334">
        <v>100</v>
      </c>
      <c r="H44" s="342">
        <v>26.322325397868489</v>
      </c>
      <c r="I44" s="341">
        <v>28.552191171180684</v>
      </c>
      <c r="J44" s="334">
        <f t="shared" si="5"/>
        <v>2.2298657733121949</v>
      </c>
      <c r="K44" s="342"/>
      <c r="L44">
        <f>E45*8</f>
        <v>0.40079999999999999</v>
      </c>
    </row>
    <row r="45" spans="3:102">
      <c r="E45" s="334">
        <f>0.0527-0.0026</f>
        <v>5.0099999999999999E-2</v>
      </c>
      <c r="F45" s="334">
        <v>20</v>
      </c>
      <c r="G45" s="334">
        <v>100</v>
      </c>
      <c r="H45" s="344">
        <v>26.669988135694741</v>
      </c>
      <c r="I45" s="343">
        <v>29.191357892236596</v>
      </c>
      <c r="J45" s="334">
        <f t="shared" si="5"/>
        <v>2.5213697565418549</v>
      </c>
      <c r="K45" s="344">
        <f>AVERAGE(J43:J48)</f>
        <v>2.5316919156924045</v>
      </c>
    </row>
    <row r="46" spans="3:102">
      <c r="E46" s="344">
        <f>0.0532-0.0048</f>
        <v>4.8399999999999999E-2</v>
      </c>
      <c r="F46" s="344">
        <v>20</v>
      </c>
      <c r="G46" s="344">
        <v>100</v>
      </c>
      <c r="H46" s="346">
        <v>26.324560572180783</v>
      </c>
      <c r="I46" s="345">
        <v>28.874428801204498</v>
      </c>
      <c r="J46" s="344">
        <f t="shared" si="5"/>
        <v>2.5498682290237156</v>
      </c>
      <c r="K46" s="346"/>
    </row>
    <row r="47" spans="3:102">
      <c r="E47" s="344">
        <f>0.0521-0.0054</f>
        <v>4.6699999999999998E-2</v>
      </c>
      <c r="F47" s="344">
        <v>20</v>
      </c>
      <c r="G47" s="344">
        <v>100</v>
      </c>
      <c r="H47" s="348">
        <v>26.320649017134258</v>
      </c>
      <c r="I47" s="349">
        <v>28.880854927352363</v>
      </c>
      <c r="J47" s="344">
        <f t="shared" si="5"/>
        <v>2.5602059102181052</v>
      </c>
      <c r="K47" s="347"/>
    </row>
    <row r="48" spans="3:102">
      <c r="E48" s="344">
        <f>0.0509-0.0012</f>
        <v>4.9700000000000001E-2</v>
      </c>
      <c r="F48" s="344">
        <v>20</v>
      </c>
      <c r="G48" s="344">
        <v>100</v>
      </c>
      <c r="H48" s="351">
        <v>26.634225346697889</v>
      </c>
      <c r="I48" s="350">
        <v>29.401091748541109</v>
      </c>
      <c r="J48" s="351">
        <f t="shared" si="5"/>
        <v>2.7668664018432203</v>
      </c>
      <c r="K48" s="351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Stock1</vt:lpstr>
      <vt:lpstr>lowconcentration</vt:lpstr>
      <vt:lpstr>Stock2</vt:lpstr>
      <vt:lpstr>Stock3</vt:lpstr>
      <vt:lpstr>Stock 4</vt:lpstr>
      <vt:lpstr>Stock 5</vt:lpstr>
      <vt:lpstr>Stock6</vt:lpstr>
      <vt:lpstr>Stock7</vt:lpstr>
      <vt:lpstr>Stock8</vt:lpstr>
      <vt:lpstr>Stock9</vt:lpstr>
      <vt:lpstr>Stock10</vt:lpstr>
      <vt:lpstr>Stock11</vt:lpstr>
      <vt:lpstr>Plot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CHLabData</dc:creator>
  <cp:lastModifiedBy>Yang He</cp:lastModifiedBy>
  <dcterms:created xsi:type="dcterms:W3CDTF">2015-05-08T14:50:50Z</dcterms:created>
  <dcterms:modified xsi:type="dcterms:W3CDTF">2016-03-14T15:29:17Z</dcterms:modified>
</cp:coreProperties>
</file>