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icrowave\Data\"/>
    </mc:Choice>
  </mc:AlternateContent>
  <bookViews>
    <workbookView xWindow="0" yWindow="0" windowWidth="20490" windowHeight="7755"/>
  </bookViews>
  <sheets>
    <sheet name="Stock1" sheetId="1" r:id="rId1"/>
    <sheet name="Stock2" sheetId="2" r:id="rId2"/>
    <sheet name="Stock3" sheetId="3" r:id="rId3"/>
    <sheet name="Stock 4" sheetId="4" r:id="rId4"/>
    <sheet name="Stock 5" sheetId="6" r:id="rId5"/>
    <sheet name="Stock 6" sheetId="7" r:id="rId6"/>
    <sheet name="Stock7" sheetId="8" r:id="rId7"/>
    <sheet name="Stock8" sheetId="10" r:id="rId8"/>
    <sheet name="Stock9" sheetId="11" r:id="rId9"/>
    <sheet name="Organic Solvent" sheetId="9" r:id="rId10"/>
    <sheet name="Plot" sheetId="5" r:id="rId11"/>
  </sheets>
  <externalReferences>
    <externalReference r:id="rId1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M19" i="1"/>
  <c r="F20" i="1"/>
  <c r="F21" i="1" s="1"/>
  <c r="E21" i="1" s="1"/>
  <c r="F19" i="1" l="1"/>
  <c r="S9" i="1"/>
  <c r="K20" i="1"/>
  <c r="N17" i="11" l="1"/>
  <c r="N16" i="11"/>
  <c r="N15" i="11"/>
  <c r="F16" i="11" l="1"/>
  <c r="M32" i="11" l="1"/>
  <c r="G32" i="11"/>
  <c r="M31" i="11"/>
  <c r="M30" i="11"/>
  <c r="G31" i="11"/>
  <c r="G30" i="11"/>
  <c r="L32" i="11"/>
  <c r="L31" i="11"/>
  <c r="L30" i="11"/>
  <c r="M24" i="11"/>
  <c r="G24" i="11"/>
  <c r="M23" i="11"/>
  <c r="G23" i="11"/>
  <c r="M22" i="11"/>
  <c r="G22" i="11"/>
  <c r="L24" i="11"/>
  <c r="L23" i="11"/>
  <c r="L22" i="11"/>
  <c r="G17" i="11"/>
  <c r="L18" i="11"/>
  <c r="L17" i="11"/>
  <c r="G16" i="11"/>
  <c r="L16" i="11"/>
  <c r="M16" i="11" s="1"/>
  <c r="M14" i="11"/>
  <c r="M15" i="11"/>
  <c r="M13" i="11"/>
  <c r="G15" i="11"/>
  <c r="G14" i="11"/>
  <c r="G13" i="11"/>
  <c r="L15" i="11"/>
  <c r="L14" i="11"/>
  <c r="L13" i="11"/>
  <c r="G6" i="11"/>
  <c r="L6" i="11"/>
  <c r="L5" i="11"/>
  <c r="G5" i="11"/>
  <c r="M17" i="11" l="1"/>
  <c r="M34" i="10"/>
  <c r="H34" i="10"/>
  <c r="M33" i="10"/>
  <c r="H33" i="10"/>
  <c r="M32" i="10"/>
  <c r="H32" i="10"/>
  <c r="H26" i="10"/>
  <c r="H25" i="10"/>
  <c r="H24" i="10"/>
  <c r="M26" i="10"/>
  <c r="M25" i="10"/>
  <c r="M24" i="10"/>
  <c r="H18" i="10"/>
  <c r="H17" i="10"/>
  <c r="H16" i="10"/>
  <c r="M18" i="10"/>
  <c r="M17" i="10"/>
  <c r="M16" i="10"/>
  <c r="H10" i="10"/>
  <c r="H9" i="10" l="1"/>
  <c r="M11" i="10" l="1"/>
  <c r="H8" i="10"/>
  <c r="H7" i="10"/>
  <c r="H6" i="10" l="1"/>
  <c r="M9" i="10"/>
  <c r="M7" i="10"/>
  <c r="M10" i="10"/>
  <c r="M8" i="10"/>
  <c r="M6" i="10"/>
  <c r="G18" i="9" l="1"/>
  <c r="G16" i="9"/>
  <c r="L19" i="9"/>
  <c r="L17" i="9"/>
  <c r="M11" i="9" l="1"/>
  <c r="G11" i="9"/>
  <c r="G7" i="9"/>
  <c r="R12" i="9"/>
  <c r="L12" i="9"/>
  <c r="G5" i="9"/>
  <c r="L8" i="9"/>
  <c r="L6" i="9"/>
  <c r="I19" i="8" l="1"/>
  <c r="I17" i="8"/>
  <c r="N20" i="8"/>
  <c r="N18" i="8"/>
  <c r="F13" i="8"/>
  <c r="L10" i="8"/>
  <c r="F10" i="8"/>
  <c r="L7" i="8"/>
  <c r="F7" i="8"/>
  <c r="L4" i="8"/>
  <c r="T12" i="7"/>
  <c r="T11" i="7"/>
  <c r="T10" i="7"/>
  <c r="F4" i="8"/>
  <c r="Q14" i="8"/>
  <c r="K14" i="8"/>
  <c r="L13" i="8"/>
  <c r="Q11" i="8"/>
  <c r="K11" i="8"/>
  <c r="Q8" i="8"/>
  <c r="K8" i="8"/>
  <c r="Q5" i="8"/>
  <c r="K5" i="8"/>
  <c r="G20" i="7" l="1"/>
  <c r="L21" i="7"/>
  <c r="G18" i="7"/>
  <c r="J2" i="7"/>
  <c r="P15" i="7"/>
  <c r="K14" i="7"/>
  <c r="T23" i="7"/>
  <c r="O22" i="7"/>
  <c r="T20" i="7"/>
  <c r="O19" i="7"/>
  <c r="J15" i="7" l="1"/>
  <c r="E14" i="7"/>
  <c r="L19" i="7"/>
  <c r="P12" i="7"/>
  <c r="K11" i="7"/>
  <c r="J12" i="7"/>
  <c r="E11" i="7"/>
  <c r="K8" i="7"/>
  <c r="P9" i="7"/>
  <c r="J9" i="7"/>
  <c r="E8" i="7"/>
  <c r="P6" i="7"/>
  <c r="K5" i="7"/>
  <c r="E5" i="7"/>
  <c r="J6" i="7"/>
  <c r="S30" i="6" l="1"/>
  <c r="M29" i="6"/>
  <c r="G29" i="6"/>
  <c r="S27" i="6"/>
  <c r="M26" i="6"/>
  <c r="G26" i="6"/>
  <c r="T24" i="6"/>
  <c r="M23" i="6"/>
  <c r="S21" i="6"/>
  <c r="T5" i="6"/>
  <c r="M3" i="6"/>
  <c r="M2" i="6"/>
  <c r="S24" i="6"/>
  <c r="G23" i="6"/>
  <c r="P3" i="6"/>
  <c r="M20" i="6"/>
  <c r="R30" i="6"/>
  <c r="R27" i="6"/>
  <c r="R24" i="6"/>
  <c r="R21" i="6"/>
  <c r="G20" i="6"/>
  <c r="L30" i="6"/>
  <c r="L27" i="6"/>
  <c r="L24" i="6"/>
  <c r="L21" i="6"/>
  <c r="S34" i="4" l="1"/>
  <c r="R20" i="3"/>
  <c r="T5" i="2"/>
  <c r="S5" i="2"/>
  <c r="S8" i="2"/>
  <c r="N14" i="1"/>
  <c r="N11" i="1"/>
  <c r="N8" i="1"/>
  <c r="N5" i="1"/>
  <c r="M14" i="6" l="1"/>
  <c r="G14" i="6"/>
  <c r="M11" i="6"/>
  <c r="G11" i="6"/>
  <c r="M8" i="6"/>
  <c r="G8" i="6"/>
  <c r="G8" i="1"/>
  <c r="M5" i="6"/>
  <c r="J3" i="1"/>
  <c r="G5" i="6"/>
  <c r="R15" i="6"/>
  <c r="L15" i="6"/>
  <c r="R12" i="6"/>
  <c r="L12" i="6"/>
  <c r="R9" i="6"/>
  <c r="L9" i="6"/>
  <c r="R6" i="6"/>
  <c r="L6" i="6"/>
  <c r="F60" i="4" l="1"/>
  <c r="F57" i="4"/>
  <c r="F54" i="4"/>
  <c r="F51" i="4"/>
  <c r="K61" i="4"/>
  <c r="K58" i="4"/>
  <c r="K55" i="4"/>
  <c r="K52" i="4"/>
  <c r="U43" i="4" l="1"/>
  <c r="U40" i="4"/>
  <c r="U37" i="4"/>
  <c r="U34" i="4"/>
  <c r="S43" i="4"/>
  <c r="S40" i="4"/>
  <c r="S37" i="4"/>
  <c r="T29" i="3"/>
  <c r="T26" i="3"/>
  <c r="T23" i="3"/>
  <c r="R29" i="3"/>
  <c r="R26" i="3"/>
  <c r="R23" i="3"/>
  <c r="T14" i="2"/>
  <c r="T11" i="2"/>
  <c r="T8" i="2"/>
  <c r="S14" i="2"/>
  <c r="S11" i="2"/>
  <c r="K13" i="4" l="1"/>
  <c r="F42" i="4"/>
  <c r="L39" i="4"/>
  <c r="F39" i="4"/>
  <c r="L36" i="4"/>
  <c r="F36" i="4"/>
  <c r="L33" i="4"/>
  <c r="F33" i="4"/>
  <c r="Q43" i="4"/>
  <c r="K43" i="4"/>
  <c r="L42" i="4"/>
  <c r="Q40" i="4"/>
  <c r="K40" i="4"/>
  <c r="Q37" i="4"/>
  <c r="K37" i="4"/>
  <c r="Q34" i="4"/>
  <c r="K34" i="4"/>
  <c r="E13" i="4" l="1"/>
  <c r="K10" i="4"/>
  <c r="E10" i="4"/>
  <c r="K7" i="4"/>
  <c r="E7" i="4"/>
  <c r="E4" i="4"/>
  <c r="K4" i="4"/>
  <c r="N21" i="4"/>
  <c r="J5" i="4" l="1"/>
  <c r="P14" i="4"/>
  <c r="J14" i="4"/>
  <c r="P11" i="4"/>
  <c r="J11" i="4"/>
  <c r="P8" i="4"/>
  <c r="J8" i="4"/>
  <c r="P5" i="4"/>
  <c r="F28" i="3" l="1"/>
  <c r="L28" i="3"/>
  <c r="Q29" i="3"/>
  <c r="L25" i="3"/>
  <c r="Q26" i="3"/>
  <c r="F25" i="3"/>
  <c r="L22" i="3"/>
  <c r="Q23" i="3"/>
  <c r="F22" i="3"/>
  <c r="F19" i="3"/>
  <c r="K29" i="3"/>
  <c r="K26" i="3"/>
  <c r="K23" i="3"/>
  <c r="K20" i="3"/>
  <c r="W14" i="3" l="1"/>
  <c r="R13" i="3"/>
  <c r="W11" i="3"/>
  <c r="R10" i="3"/>
  <c r="X7" i="3"/>
  <c r="AC8" i="3"/>
  <c r="R4" i="3"/>
  <c r="W5" i="3"/>
  <c r="L13" i="3"/>
  <c r="F13" i="3"/>
  <c r="W9" i="3"/>
  <c r="W8" i="3"/>
  <c r="R7" i="3"/>
  <c r="L7" i="3"/>
  <c r="K8" i="3"/>
  <c r="F10" i="3"/>
  <c r="F7" i="3"/>
  <c r="L4" i="3"/>
  <c r="K2" i="3"/>
  <c r="F4" i="3" l="1"/>
  <c r="Q14" i="3"/>
  <c r="K14" i="3"/>
  <c r="Q8" i="3"/>
  <c r="Q11" i="3"/>
  <c r="K11" i="3"/>
  <c r="L10" i="3"/>
  <c r="Q5" i="3"/>
  <c r="K5" i="3"/>
  <c r="L13" i="2" l="1"/>
  <c r="F13" i="2"/>
  <c r="L7" i="2"/>
  <c r="F7" i="2"/>
  <c r="L10" i="2" l="1"/>
  <c r="F10" i="2"/>
  <c r="Q14" i="2"/>
  <c r="Q8" i="2"/>
  <c r="Q11" i="2"/>
  <c r="F4" i="2"/>
  <c r="L4" i="2"/>
  <c r="Q5" i="2"/>
  <c r="K14" i="2"/>
  <c r="K8" i="2"/>
  <c r="K11" i="2"/>
  <c r="K5" i="2"/>
  <c r="L15" i="1"/>
  <c r="G14" i="1"/>
  <c r="L9" i="1"/>
  <c r="L12" i="1"/>
  <c r="G11" i="1"/>
  <c r="L6" i="1"/>
  <c r="G5" i="1"/>
</calcChain>
</file>

<file path=xl/sharedStrings.xml><?xml version="1.0" encoding="utf-8"?>
<sst xmlns="http://schemas.openxmlformats.org/spreadsheetml/2006/main" count="674" uniqueCount="69">
  <si>
    <t>2ml</t>
  </si>
  <si>
    <t>Crystal (20mg/20g)</t>
  </si>
  <si>
    <t>Time (s)</t>
  </si>
  <si>
    <t>Power (W)</t>
  </si>
  <si>
    <r>
      <t>T</t>
    </r>
    <r>
      <rPr>
        <vertAlign val="subscript"/>
        <sz val="11"/>
        <color theme="1"/>
        <rFont val="Calibri"/>
        <family val="2"/>
        <scheme val="minor"/>
      </rPr>
      <t>o</t>
    </r>
  </si>
  <si>
    <t>T</t>
  </si>
  <si>
    <t>∆T</t>
  </si>
  <si>
    <t>4ml</t>
  </si>
  <si>
    <t>SiL-250 (20mg/20g)</t>
  </si>
  <si>
    <t>SiL-90 (20mg/20g)</t>
  </si>
  <si>
    <t>SiL-40 (20mg/20g)</t>
  </si>
  <si>
    <t>Crystal (40mg/20g)</t>
  </si>
  <si>
    <t>SiL-250 (40mg/20g)</t>
  </si>
  <si>
    <t>SiL-90 (40mg/20g)</t>
  </si>
  <si>
    <t>SiL-40 (40mg/20g)</t>
  </si>
  <si>
    <t>Crystal (60mg/20g)</t>
  </si>
  <si>
    <t>SiL-250 (60mg/20g)</t>
  </si>
  <si>
    <t>SiL-90 (60mg/20g)</t>
  </si>
  <si>
    <t>SiL-40 (60mg/20g)</t>
  </si>
  <si>
    <t>blk</t>
  </si>
  <si>
    <t xml:space="preserve">Tumbled overnight again </t>
  </si>
  <si>
    <t>tumbler overnight 1</t>
  </si>
  <si>
    <t>Crystal (80mg/20g)</t>
  </si>
  <si>
    <t>SiL-250 (80mg/20g)</t>
  </si>
  <si>
    <t>SiL-90 (80mg/20g)</t>
  </si>
  <si>
    <t>SiL-40 (80mg/20g)</t>
  </si>
  <si>
    <t>Tumbler 45hrs</t>
  </si>
  <si>
    <t>mg</t>
  </si>
  <si>
    <t>WetMix</t>
  </si>
  <si>
    <t>Tumbled for another 17hr</t>
  </si>
  <si>
    <t>DryMix</t>
  </si>
  <si>
    <t>MWCNT (mg)</t>
  </si>
  <si>
    <t>PureMWCNT</t>
  </si>
  <si>
    <t>Crystal Sand</t>
  </si>
  <si>
    <t>MWCNT Mass (mg)</t>
  </si>
  <si>
    <t>Exp1</t>
  </si>
  <si>
    <t>Exp2</t>
  </si>
  <si>
    <t>SIL-250</t>
  </si>
  <si>
    <t>SIL-90</t>
  </si>
  <si>
    <t>SIL-40</t>
  </si>
  <si>
    <t>Tumbled 3</t>
  </si>
  <si>
    <t>Crystal (100mg/20g)</t>
  </si>
  <si>
    <t>SiL-250 (100mg/20g)</t>
  </si>
  <si>
    <t>SiL-90 (100mg/20g)</t>
  </si>
  <si>
    <t>SiL-40 (100mg/20g)</t>
  </si>
  <si>
    <t>Tumbled 48hrs</t>
  </si>
  <si>
    <t>another 19 hr</t>
  </si>
  <si>
    <t>Crystal (120mg/20g)</t>
  </si>
  <si>
    <t>SiL-250 (120mg/20g)</t>
  </si>
  <si>
    <t>SiL-90 (120mg/20g)</t>
  </si>
  <si>
    <t>SiL-40 (120mg/20g)</t>
  </si>
  <si>
    <t>Crystsal + SDBS</t>
  </si>
  <si>
    <t>SIL-250+ SDBS</t>
  </si>
  <si>
    <t>Contro Crystal+SDBS</t>
  </si>
  <si>
    <t>Contro SiL-250+ SDBS</t>
  </si>
  <si>
    <t>Blank</t>
  </si>
  <si>
    <t>Crystal (140mg/20g)</t>
  </si>
  <si>
    <t>SiL-250 (140mg/20g)</t>
  </si>
  <si>
    <t>SiL-90 (140mg/20g)</t>
  </si>
  <si>
    <t>SiL-40 (140mg/20g)</t>
  </si>
  <si>
    <t>Ethonal</t>
  </si>
  <si>
    <t>Crystal (160mg/20g)</t>
  </si>
  <si>
    <t>SiL250(160mg/20g)</t>
  </si>
  <si>
    <t>SiL90(160mg/20g)</t>
  </si>
  <si>
    <t>SiL40(160mg/20g)</t>
  </si>
  <si>
    <t>Crystal (180mg/20g)</t>
  </si>
  <si>
    <t>after centrifuge</t>
  </si>
  <si>
    <t>ug/g</t>
  </si>
  <si>
    <t>Crystal (0.1mg/20g)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</si>
</sst>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2" borderId="0" xfId="0" applyFill="1" applyAlignment="1">
      <alignment horizont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3" xfId="0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2352799650043744E-2"/>
                  <c:y val="-8.375000000000000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'Stock 4'!$N$21:$N$24</c:f>
              <c:numCache>
                <c:formatCode>General</c:formatCode>
                <c:ptCount val="4"/>
                <c:pt idx="0">
                  <c:v>0.49120000000000003</c:v>
                </c:pt>
                <c:pt idx="1">
                  <c:v>0.35220000000000001</c:v>
                </c:pt>
                <c:pt idx="2">
                  <c:v>0.26100000000000001</c:v>
                </c:pt>
                <c:pt idx="3">
                  <c:v>0.1273</c:v>
                </c:pt>
              </c:numCache>
            </c:numRef>
          </c:xVal>
          <c:yVal>
            <c:numRef>
              <c:f>'Stock 4'!$O$21:$O$24</c:f>
              <c:numCache>
                <c:formatCode>General</c:formatCode>
                <c:ptCount val="4"/>
                <c:pt idx="0">
                  <c:v>8.6475168852518074</c:v>
                </c:pt>
                <c:pt idx="1">
                  <c:v>7.5051565471384691</c:v>
                </c:pt>
                <c:pt idx="2">
                  <c:v>6.6314827878166938</c:v>
                </c:pt>
                <c:pt idx="3">
                  <c:v>4.4333751161918009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43760"/>
        <c:axId val="180244936"/>
      </c:scatterChart>
      <c:valAx>
        <c:axId val="18024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244936"/>
        <c:crosses val="autoZero"/>
        <c:crossBetween val="midCat"/>
      </c:valAx>
      <c:valAx>
        <c:axId val="18024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243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MWCNT/SDBS dispersion with 4 types of sands</a:t>
            </a:r>
          </a:p>
        </c:rich>
      </c:tx>
      <c:layout>
        <c:manualLayout>
          <c:xMode val="edge"/>
          <c:yMode val="edge"/>
          <c:x val="0.319463154232035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272805185066134E-2"/>
          <c:y val="2.5428331875182269E-2"/>
          <c:w val="0.8692409877336762"/>
          <c:h val="0.81257143151326694"/>
        </c:manualLayout>
      </c:layout>
      <c:scatterChart>
        <c:scatterStyle val="lineMarker"/>
        <c:varyColors val="0"/>
        <c:ser>
          <c:idx val="0"/>
          <c:order val="0"/>
          <c:tx>
            <c:v>Crystal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32020997375328"/>
                  <c:y val="0.445826046154502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Plot!$B$4:$B$11</c:f>
              <c:numCache>
                <c:formatCode>General</c:formatCode>
                <c:ptCount val="8"/>
                <c:pt idx="0">
                  <c:v>0.46970297029702979</c:v>
                </c:pt>
                <c:pt idx="1">
                  <c:v>0.34957816377171219</c:v>
                </c:pt>
                <c:pt idx="2">
                  <c:v>0.25970149253731345</c:v>
                </c:pt>
                <c:pt idx="3">
                  <c:v>0.12698254364089775</c:v>
                </c:pt>
                <c:pt idx="4">
                  <c:v>0.65876543209876537</c:v>
                </c:pt>
                <c:pt idx="5">
                  <c:v>0.59085095917363506</c:v>
                </c:pt>
                <c:pt idx="6">
                  <c:v>0.71598622725036898</c:v>
                </c:pt>
                <c:pt idx="7">
                  <c:v>0.91177042801556429</c:v>
                </c:pt>
              </c:numCache>
            </c:numRef>
          </c:xVal>
          <c:yVal>
            <c:numRef>
              <c:f>Plot!$C$4:$C$11</c:f>
              <c:numCache>
                <c:formatCode>General</c:formatCode>
                <c:ptCount val="8"/>
                <c:pt idx="0">
                  <c:v>8.6475168852518074</c:v>
                </c:pt>
                <c:pt idx="1">
                  <c:v>7.5051565471384691</c:v>
                </c:pt>
                <c:pt idx="2">
                  <c:v>6.6314827878166938</c:v>
                </c:pt>
                <c:pt idx="3">
                  <c:v>4.4333751161918009</c:v>
                </c:pt>
                <c:pt idx="4">
                  <c:v>9.3220585180555897</c:v>
                </c:pt>
                <c:pt idx="5">
                  <c:v>9.507500201910748</c:v>
                </c:pt>
                <c:pt idx="6">
                  <c:v>9.7085727577550749</c:v>
                </c:pt>
                <c:pt idx="7">
                  <c:v>10.499917596573699</c:v>
                </c:pt>
              </c:numCache>
            </c:numRef>
          </c:yVal>
          <c:smooth val="0"/>
        </c:ser>
        <c:ser>
          <c:idx val="3"/>
          <c:order val="3"/>
          <c:tx>
            <c:v>SiL250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Plot!$N$4:$N$8</c:f>
              <c:numCache>
                <c:formatCode>General</c:formatCode>
                <c:ptCount val="5"/>
                <c:pt idx="0">
                  <c:v>4.6215139442231087E-2</c:v>
                </c:pt>
                <c:pt idx="1">
                  <c:v>0.123</c:v>
                </c:pt>
                <c:pt idx="2">
                  <c:v>0.16320000000000001</c:v>
                </c:pt>
                <c:pt idx="3">
                  <c:v>0.22600000000000003</c:v>
                </c:pt>
                <c:pt idx="4">
                  <c:v>0.16289999999999999</c:v>
                </c:pt>
              </c:numCache>
            </c:numRef>
          </c:xVal>
          <c:yVal>
            <c:numRef>
              <c:f>Plot!$O$4:$O$8</c:f>
              <c:numCache>
                <c:formatCode>General</c:formatCode>
                <c:ptCount val="5"/>
                <c:pt idx="0">
                  <c:v>0.90310355443381596</c:v>
                </c:pt>
                <c:pt idx="1">
                  <c:v>0.68033118130750481</c:v>
                </c:pt>
                <c:pt idx="2">
                  <c:v>1.2064353350660539</c:v>
                </c:pt>
                <c:pt idx="3">
                  <c:v>0.6726012034774449</c:v>
                </c:pt>
                <c:pt idx="4">
                  <c:v>1.1897646599867713</c:v>
                </c:pt>
              </c:numCache>
            </c:numRef>
          </c:yVal>
          <c:smooth val="0"/>
        </c:ser>
        <c:ser>
          <c:idx val="4"/>
          <c:order val="4"/>
          <c:tx>
            <c:v>SiL90</c:v>
          </c:tx>
          <c:spPr>
            <a:ln w="25400" cap="rnd">
              <a:noFill/>
              <a:round/>
            </a:ln>
            <a:effectLst/>
          </c:spPr>
          <c:marker>
            <c:symbol val="x"/>
            <c:size val="7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Plot!$B$38:$B$45</c:f>
              <c:numCache>
                <c:formatCode>General</c:formatCode>
                <c:ptCount val="8"/>
                <c:pt idx="0">
                  <c:v>4.5219123505976094E-2</c:v>
                </c:pt>
                <c:pt idx="1">
                  <c:v>0.1144</c:v>
                </c:pt>
                <c:pt idx="2">
                  <c:v>0.1042</c:v>
                </c:pt>
                <c:pt idx="3">
                  <c:v>0.15930000000000002</c:v>
                </c:pt>
                <c:pt idx="4">
                  <c:v>0.14909999999999998</c:v>
                </c:pt>
                <c:pt idx="5">
                  <c:v>0.19</c:v>
                </c:pt>
                <c:pt idx="6">
                  <c:v>0.19839999999999999</c:v>
                </c:pt>
                <c:pt idx="7">
                  <c:v>0.23284313725490199</c:v>
                </c:pt>
              </c:numCache>
            </c:numRef>
          </c:xVal>
          <c:yVal>
            <c:numRef>
              <c:f>Plot!$C$38:$C$45</c:f>
              <c:numCache>
                <c:formatCode>General</c:formatCode>
                <c:ptCount val="8"/>
                <c:pt idx="0">
                  <c:v>0.72512779981660458</c:v>
                </c:pt>
                <c:pt idx="1">
                  <c:v>0.34132974394140803</c:v>
                </c:pt>
                <c:pt idx="2">
                  <c:v>0.51576647256413466</c:v>
                </c:pt>
                <c:pt idx="3">
                  <c:v>0.95609581208800876</c:v>
                </c:pt>
                <c:pt idx="4">
                  <c:v>0.85569923256035096</c:v>
                </c:pt>
                <c:pt idx="5">
                  <c:v>0.52582475696950581</c:v>
                </c:pt>
                <c:pt idx="6">
                  <c:v>0.68545345577319949</c:v>
                </c:pt>
                <c:pt idx="7">
                  <c:v>0.339187701892115</c:v>
                </c:pt>
              </c:numCache>
            </c:numRef>
          </c:yVal>
          <c:smooth val="0"/>
        </c:ser>
        <c:ser>
          <c:idx val="5"/>
          <c:order val="5"/>
          <c:tx>
            <c:v>SiL40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Plot!$N$38:$N$45</c:f>
              <c:numCache>
                <c:formatCode>General</c:formatCode>
                <c:ptCount val="8"/>
                <c:pt idx="0">
                  <c:v>5.6899999999999999E-2</c:v>
                </c:pt>
                <c:pt idx="1">
                  <c:v>8.0799999999999983E-2</c:v>
                </c:pt>
                <c:pt idx="2">
                  <c:v>9.4400000000000012E-2</c:v>
                </c:pt>
                <c:pt idx="3">
                  <c:v>0.13109999999999999</c:v>
                </c:pt>
                <c:pt idx="4">
                  <c:v>0.13589999999999999</c:v>
                </c:pt>
                <c:pt idx="5">
                  <c:v>0.16599999999999998</c:v>
                </c:pt>
                <c:pt idx="6">
                  <c:v>0.21159999999999998</c:v>
                </c:pt>
                <c:pt idx="7">
                  <c:v>0.16274509803921569</c:v>
                </c:pt>
              </c:numCache>
            </c:numRef>
          </c:xVal>
          <c:yVal>
            <c:numRef>
              <c:f>Plot!$O$38:$O$45</c:f>
              <c:numCache>
                <c:formatCode>General</c:formatCode>
                <c:ptCount val="8"/>
                <c:pt idx="0">
                  <c:v>0.68210069430473297</c:v>
                </c:pt>
                <c:pt idx="1">
                  <c:v>0.68442900088007619</c:v>
                </c:pt>
                <c:pt idx="2">
                  <c:v>0.86603691375474057</c:v>
                </c:pt>
                <c:pt idx="3">
                  <c:v>1.2816862035802643</c:v>
                </c:pt>
                <c:pt idx="4">
                  <c:v>1.1942350086113578</c:v>
                </c:pt>
                <c:pt idx="5">
                  <c:v>0.34291299241262152</c:v>
                </c:pt>
                <c:pt idx="6">
                  <c:v>0.47834828366925919</c:v>
                </c:pt>
                <c:pt idx="7">
                  <c:v>0.35567211244535102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45720"/>
        <c:axId val="18024611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Plot!$D$2</c15:sqref>
                        </c15:formulaRef>
                      </c:ext>
                    </c:extLst>
                    <c:strCache>
                      <c:ptCount val="1"/>
                      <c:pt idx="0">
                        <c:v>DryMix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/>
                      </a:solidFill>
                      <a:prstDash val="sysDot"/>
                    </a:ln>
                    <a:effectLst/>
                  </c:spPr>
                  <c:trendlineType val="linear"/>
                  <c:dispRSqr val="1"/>
                  <c:dispEq val="1"/>
                  <c:trendlineLbl>
                    <c:layout>
                      <c:manualLayout>
                        <c:x val="-7.6316888960308527E-2"/>
                        <c:y val="2.7726459041519637E-2"/>
                      </c:manualLayout>
                    </c:layout>
                    <c:numFmt formatCode="General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1000" b="0" i="0" u="none" strike="noStrike" kern="1200" baseline="0">
                            <a:solidFill>
                              <a:schemeClr val="tx1"/>
                            </a:solidFill>
                            <a:latin typeface="Times New Roman" panose="02020603050405020304" pitchFamily="18" charset="0"/>
                            <a:ea typeface="+mn-ea"/>
                            <a:cs typeface="Times New Roman" panose="02020603050405020304" pitchFamily="18" charset="0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Plot!$E$4:$E$9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6.7449999999999996E-2</c:v>
                      </c:pt>
                      <c:pt idx="1">
                        <c:v>0.13500000000000001</c:v>
                      </c:pt>
                      <c:pt idx="2">
                        <c:v>0.26800000000000002</c:v>
                      </c:pt>
                      <c:pt idx="3">
                        <c:v>0.39929999999999999</c:v>
                      </c:pt>
                      <c:pt idx="4">
                        <c:v>0.53359999999999996</c:v>
                      </c:pt>
                      <c:pt idx="5">
                        <c:v>0.66500000000000004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Plot!$F$4:$F$9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0.43613838768833446</c:v>
                      </c:pt>
                      <c:pt idx="1">
                        <c:v>3.7367457888571067</c:v>
                      </c:pt>
                      <c:pt idx="2">
                        <c:v>8.2934280212776663</c:v>
                      </c:pt>
                      <c:pt idx="3">
                        <c:v>11.895970219133513</c:v>
                      </c:pt>
                      <c:pt idx="4">
                        <c:v>20.463952151772489</c:v>
                      </c:pt>
                      <c:pt idx="5">
                        <c:v>30.359068832341961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Plot!$G$2</c15:sqref>
                        </c15:formulaRef>
                      </c:ext>
                    </c:extLst>
                    <c:strCache>
                      <c:ptCount val="1"/>
                      <c:pt idx="0">
                        <c:v>PureMWCNT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Plot!$H$4:$H$10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3.6</c:v>
                      </c:pt>
                      <c:pt idx="1">
                        <c:v>2.7</c:v>
                      </c:pt>
                      <c:pt idx="2">
                        <c:v>3</c:v>
                      </c:pt>
                      <c:pt idx="3">
                        <c:v>3.3</c:v>
                      </c:pt>
                      <c:pt idx="4">
                        <c:v>4.2</c:v>
                      </c:pt>
                      <c:pt idx="5">
                        <c:v>4.0999999999999996</c:v>
                      </c:pt>
                      <c:pt idx="6">
                        <c:v>2.8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Plot!$I$4:$I$10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87.542650851169299</c:v>
                      </c:pt>
                      <c:pt idx="1">
                        <c:v>63.387122058100829</c:v>
                      </c:pt>
                      <c:pt idx="2">
                        <c:v>69.632105954414953</c:v>
                      </c:pt>
                      <c:pt idx="3">
                        <c:v>86.276797132301155</c:v>
                      </c:pt>
                      <c:pt idx="4">
                        <c:v>109.97858553997196</c:v>
                      </c:pt>
                      <c:pt idx="5">
                        <c:v>97.12000025033953</c:v>
                      </c:pt>
                      <c:pt idx="6">
                        <c:v>73.783476578204429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180245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 Mass (mg)</a:t>
                </a:r>
              </a:p>
            </c:rich>
          </c:tx>
          <c:layout>
            <c:manualLayout>
              <c:xMode val="edge"/>
              <c:yMode val="edge"/>
              <c:x val="0.31648883175317366"/>
              <c:y val="0.929606220223079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246112"/>
        <c:crosses val="autoZero"/>
        <c:crossBetween val="midCat"/>
      </c:valAx>
      <c:valAx>
        <c:axId val="18024611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∆ T (○C) 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7498067949839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0245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0302962129733782"/>
          <c:y val="0.11124892806763875"/>
          <c:w val="0.15448122556109059"/>
          <c:h val="0.316902185344643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Pure MWCNT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97639819444163"/>
          <c:y val="4.1660844493125328E-2"/>
          <c:w val="0.8366479190101237"/>
          <c:h val="0.813273717222461"/>
        </c:manualLayout>
      </c:layout>
      <c:scatterChart>
        <c:scatterStyle val="lineMarker"/>
        <c:varyColors val="0"/>
        <c:ser>
          <c:idx val="0"/>
          <c:order val="0"/>
          <c:tx>
            <c:strRef>
              <c:f>Plot!$G$2</c:f>
              <c:strCache>
                <c:ptCount val="1"/>
                <c:pt idx="0">
                  <c:v>PureMWCNT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954543921084415"/>
                  <c:y val="0.3222302605779502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Plot!$H$4:$H$10</c:f>
              <c:numCache>
                <c:formatCode>General</c:formatCode>
                <c:ptCount val="7"/>
                <c:pt idx="0">
                  <c:v>3.6</c:v>
                </c:pt>
                <c:pt idx="1">
                  <c:v>2.7</c:v>
                </c:pt>
                <c:pt idx="2">
                  <c:v>3</c:v>
                </c:pt>
                <c:pt idx="3">
                  <c:v>3.3</c:v>
                </c:pt>
                <c:pt idx="4">
                  <c:v>4.2</c:v>
                </c:pt>
                <c:pt idx="5">
                  <c:v>4.0999999999999996</c:v>
                </c:pt>
                <c:pt idx="6">
                  <c:v>2.8</c:v>
                </c:pt>
              </c:numCache>
            </c:numRef>
          </c:xVal>
          <c:yVal>
            <c:numRef>
              <c:f>Plot!$I$4:$I$10</c:f>
              <c:numCache>
                <c:formatCode>General</c:formatCode>
                <c:ptCount val="7"/>
                <c:pt idx="0">
                  <c:v>87.542650851169299</c:v>
                </c:pt>
                <c:pt idx="1">
                  <c:v>63.387122058100829</c:v>
                </c:pt>
                <c:pt idx="2">
                  <c:v>69.632105954414953</c:v>
                </c:pt>
                <c:pt idx="3">
                  <c:v>86.276797132301155</c:v>
                </c:pt>
                <c:pt idx="4">
                  <c:v>109.97858553997196</c:v>
                </c:pt>
                <c:pt idx="5">
                  <c:v>97.12000025033953</c:v>
                </c:pt>
                <c:pt idx="6">
                  <c:v>73.783476578204429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246896"/>
        <c:axId val="370593384"/>
      </c:scatterChart>
      <c:valAx>
        <c:axId val="180246896"/>
        <c:scaling>
          <c:orientation val="minMax"/>
          <c:min val="2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MWCNT</a:t>
                </a:r>
                <a:r>
                  <a:rPr lang="en-US" baseline="0"/>
                  <a:t> Mass (mg)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374846894138236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593384"/>
        <c:crosses val="autoZero"/>
        <c:crossBetween val="midCat"/>
      </c:valAx>
      <c:valAx>
        <c:axId val="3705933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365721420239136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246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7794722317807965"/>
          <c:y val="0.64633037792291892"/>
          <c:w val="0.27749407930692466"/>
          <c:h val="7.09606511218389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MWCNT/SDBS Dispersion with 3 types sands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0048118985128"/>
          <c:y val="3.7453703703703718E-2"/>
          <c:w val="0.84328018372703406"/>
          <c:h val="0.80790135608048996"/>
        </c:manualLayout>
      </c:layout>
      <c:scatterChart>
        <c:scatterStyle val="lineMarker"/>
        <c:varyColors val="0"/>
        <c:ser>
          <c:idx val="0"/>
          <c:order val="0"/>
          <c:tx>
            <c:v>SiL250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Plot!$N$4:$N$9</c:f>
              <c:numCache>
                <c:formatCode>General</c:formatCode>
                <c:ptCount val="6"/>
                <c:pt idx="0">
                  <c:v>4.6215139442231087E-2</c:v>
                </c:pt>
                <c:pt idx="1">
                  <c:v>0.123</c:v>
                </c:pt>
                <c:pt idx="2">
                  <c:v>0.16320000000000001</c:v>
                </c:pt>
                <c:pt idx="3">
                  <c:v>0.22600000000000003</c:v>
                </c:pt>
                <c:pt idx="4">
                  <c:v>0.16289999999999999</c:v>
                </c:pt>
                <c:pt idx="5">
                  <c:v>0.51839999999999997</c:v>
                </c:pt>
              </c:numCache>
            </c:numRef>
          </c:xVal>
          <c:yVal>
            <c:numRef>
              <c:f>Plot!$O$4:$O$9</c:f>
              <c:numCache>
                <c:formatCode>General</c:formatCode>
                <c:ptCount val="6"/>
                <c:pt idx="0">
                  <c:v>0.90310355443381596</c:v>
                </c:pt>
                <c:pt idx="1">
                  <c:v>0.68033118130750481</c:v>
                </c:pt>
                <c:pt idx="2">
                  <c:v>1.2064353350660539</c:v>
                </c:pt>
                <c:pt idx="3">
                  <c:v>0.6726012034774449</c:v>
                </c:pt>
                <c:pt idx="4">
                  <c:v>1.1897646599867713</c:v>
                </c:pt>
                <c:pt idx="5">
                  <c:v>1.5460886982732021</c:v>
                </c:pt>
              </c:numCache>
            </c:numRef>
          </c:yVal>
          <c:smooth val="0"/>
        </c:ser>
        <c:ser>
          <c:idx val="2"/>
          <c:order val="2"/>
          <c:tx>
            <c:v>SiL90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Plot!$B$38:$B$45</c:f>
              <c:numCache>
                <c:formatCode>General</c:formatCode>
                <c:ptCount val="8"/>
                <c:pt idx="0">
                  <c:v>4.5219123505976094E-2</c:v>
                </c:pt>
                <c:pt idx="1">
                  <c:v>0.1144</c:v>
                </c:pt>
                <c:pt idx="2">
                  <c:v>0.1042</c:v>
                </c:pt>
                <c:pt idx="3">
                  <c:v>0.15930000000000002</c:v>
                </c:pt>
                <c:pt idx="4">
                  <c:v>0.14909999999999998</c:v>
                </c:pt>
                <c:pt idx="5">
                  <c:v>0.19</c:v>
                </c:pt>
                <c:pt idx="6">
                  <c:v>0.19839999999999999</c:v>
                </c:pt>
                <c:pt idx="7">
                  <c:v>0.23284313725490199</c:v>
                </c:pt>
              </c:numCache>
            </c:numRef>
          </c:xVal>
          <c:yVal>
            <c:numRef>
              <c:f>Plot!$C$38:$C$45</c:f>
              <c:numCache>
                <c:formatCode>General</c:formatCode>
                <c:ptCount val="8"/>
                <c:pt idx="0">
                  <c:v>0.72512779981660458</c:v>
                </c:pt>
                <c:pt idx="1">
                  <c:v>0.34132974394140803</c:v>
                </c:pt>
                <c:pt idx="2">
                  <c:v>0.51576647256413466</c:v>
                </c:pt>
                <c:pt idx="3">
                  <c:v>0.95609581208800876</c:v>
                </c:pt>
                <c:pt idx="4">
                  <c:v>0.85569923256035096</c:v>
                </c:pt>
                <c:pt idx="5">
                  <c:v>0.52582475696950581</c:v>
                </c:pt>
                <c:pt idx="6">
                  <c:v>0.68545345577319949</c:v>
                </c:pt>
                <c:pt idx="7">
                  <c:v>0.339187701892115</c:v>
                </c:pt>
              </c:numCache>
            </c:numRef>
          </c:yVal>
          <c:smooth val="0"/>
        </c:ser>
        <c:ser>
          <c:idx val="3"/>
          <c:order val="3"/>
          <c:tx>
            <c:v>SiL40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Plot!$N$38:$N$45</c:f>
              <c:numCache>
                <c:formatCode>General</c:formatCode>
                <c:ptCount val="8"/>
                <c:pt idx="0">
                  <c:v>5.6899999999999999E-2</c:v>
                </c:pt>
                <c:pt idx="1">
                  <c:v>8.0799999999999983E-2</c:v>
                </c:pt>
                <c:pt idx="2">
                  <c:v>9.4400000000000012E-2</c:v>
                </c:pt>
                <c:pt idx="3">
                  <c:v>0.13109999999999999</c:v>
                </c:pt>
                <c:pt idx="4">
                  <c:v>0.13589999999999999</c:v>
                </c:pt>
                <c:pt idx="5">
                  <c:v>0.16599999999999998</c:v>
                </c:pt>
                <c:pt idx="6">
                  <c:v>0.21159999999999998</c:v>
                </c:pt>
                <c:pt idx="7">
                  <c:v>0.16274509803921569</c:v>
                </c:pt>
              </c:numCache>
            </c:numRef>
          </c:xVal>
          <c:yVal>
            <c:numRef>
              <c:f>Plot!$O$38:$O$45</c:f>
              <c:numCache>
                <c:formatCode>General</c:formatCode>
                <c:ptCount val="8"/>
                <c:pt idx="0">
                  <c:v>0.68210069430473297</c:v>
                </c:pt>
                <c:pt idx="1">
                  <c:v>0.68442900088007619</c:v>
                </c:pt>
                <c:pt idx="2">
                  <c:v>0.86603691375474057</c:v>
                </c:pt>
                <c:pt idx="3">
                  <c:v>1.2816862035802643</c:v>
                </c:pt>
                <c:pt idx="4">
                  <c:v>1.1942350086113578</c:v>
                </c:pt>
                <c:pt idx="5">
                  <c:v>0.34291299241262152</c:v>
                </c:pt>
                <c:pt idx="6">
                  <c:v>0.47834828366925919</c:v>
                </c:pt>
                <c:pt idx="7">
                  <c:v>0.35567211244535102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594168"/>
        <c:axId val="37059456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DryMix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Plot!$Q$4:$Q$5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8.1699999999999995E-2</c:v>
                      </c:pt>
                      <c:pt idx="1">
                        <c:v>0.29199999999999998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Plot!$R$4:$R$5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0.15851111164754528</c:v>
                      </c:pt>
                      <c:pt idx="1">
                        <c:v>0.33397229516339522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70594168"/>
        <c:scaling>
          <c:orientation val="minMax"/>
          <c:max val="0.3000000000000000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MWCNT Mass (mg)</a:t>
                </a:r>
              </a:p>
            </c:rich>
          </c:tx>
          <c:layout>
            <c:manualLayout>
              <c:xMode val="edge"/>
              <c:yMode val="edge"/>
              <c:x val="0.42629046369203855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0594560"/>
        <c:crosses val="autoZero"/>
        <c:crossBetween val="midCat"/>
      </c:valAx>
      <c:valAx>
        <c:axId val="370594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l-GR">
                    <a:ea typeface="宋体" panose="02010600030101010101" pitchFamily="2" charset="-122"/>
                  </a:rPr>
                  <a:t>Δ</a:t>
                </a:r>
                <a:r>
                  <a:rPr lang="en-US"/>
                  <a:t> T (</a:t>
                </a:r>
                <a:r>
                  <a:rPr lang="en-US" altLang="zh-CN" sz="1200" b="0" i="0" u="none" strike="noStrike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▫</a:t>
                </a:r>
                <a:r>
                  <a:rPr lang="en-US" altLang="zh-CN" sz="1200" b="0" i="0" u="none" strike="noStrike" baseline="0">
                    <a:effectLst/>
                  </a:rPr>
                  <a:t>C</a:t>
                </a:r>
                <a:r>
                  <a:rPr lang="en-US">
                    <a:latin typeface="宋体" panose="02010600030101010101" pitchFamily="2" charset="-122"/>
                    <a:ea typeface="宋体" panose="02010600030101010101" pitchFamily="2" charset="-122"/>
                  </a:rPr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7777777777777779E-3"/>
              <c:y val="0.34720290172061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0594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987029746281717"/>
          <c:y val="0.10726778944298625"/>
          <c:w val="0.13040025042741216"/>
          <c:h val="0.24679012399945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MWCNT-SIL90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0048118985128"/>
          <c:y val="3.7453703703703718E-2"/>
          <c:w val="0.84328018372703406"/>
          <c:h val="0.80790135608048996"/>
        </c:manualLayout>
      </c:layout>
      <c:scatterChart>
        <c:scatterStyle val="lineMarker"/>
        <c:varyColors val="0"/>
        <c:ser>
          <c:idx val="0"/>
          <c:order val="0"/>
          <c:tx>
            <c:strRef>
              <c:f>Plot!$N$2</c:f>
              <c:strCache>
                <c:ptCount val="1"/>
                <c:pt idx="0">
                  <c:v>WetMix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Plot!$B$38:$B$45</c:f>
              <c:numCache>
                <c:formatCode>General</c:formatCode>
                <c:ptCount val="8"/>
                <c:pt idx="0">
                  <c:v>4.5219123505976094E-2</c:v>
                </c:pt>
                <c:pt idx="1">
                  <c:v>0.1144</c:v>
                </c:pt>
                <c:pt idx="2">
                  <c:v>0.1042</c:v>
                </c:pt>
                <c:pt idx="3">
                  <c:v>0.15930000000000002</c:v>
                </c:pt>
                <c:pt idx="4">
                  <c:v>0.14909999999999998</c:v>
                </c:pt>
                <c:pt idx="5">
                  <c:v>0.19</c:v>
                </c:pt>
                <c:pt idx="6">
                  <c:v>0.19839999999999999</c:v>
                </c:pt>
                <c:pt idx="7">
                  <c:v>0.23284313725490199</c:v>
                </c:pt>
              </c:numCache>
            </c:numRef>
          </c:xVal>
          <c:yVal>
            <c:numRef>
              <c:f>Plot!$C$38:$C$45</c:f>
              <c:numCache>
                <c:formatCode>General</c:formatCode>
                <c:ptCount val="8"/>
                <c:pt idx="0">
                  <c:v>0.72512779981660458</c:v>
                </c:pt>
                <c:pt idx="1">
                  <c:v>0.34132974394140803</c:v>
                </c:pt>
                <c:pt idx="2">
                  <c:v>0.51576647256413466</c:v>
                </c:pt>
                <c:pt idx="3">
                  <c:v>0.95609581208800876</c:v>
                </c:pt>
                <c:pt idx="4">
                  <c:v>0.85569923256035096</c:v>
                </c:pt>
                <c:pt idx="5">
                  <c:v>0.52582475696950581</c:v>
                </c:pt>
                <c:pt idx="6">
                  <c:v>0.68545345577319949</c:v>
                </c:pt>
                <c:pt idx="7">
                  <c:v>0.339187701892115</c:v>
                </c:pt>
              </c:numCache>
            </c:numRef>
          </c:yVal>
          <c:smooth val="0"/>
        </c:ser>
        <c:ser>
          <c:idx val="1"/>
          <c:order val="1"/>
          <c:tx>
            <c:v>DryMix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Plot!$E$38:$E$40</c:f>
              <c:numCache>
                <c:formatCode>General</c:formatCode>
                <c:ptCount val="3"/>
                <c:pt idx="0">
                  <c:v>3.5700000000000003E-2</c:v>
                </c:pt>
                <c:pt idx="1">
                  <c:v>7.1400000000000005E-2</c:v>
                </c:pt>
                <c:pt idx="2">
                  <c:v>0.34450000000000003</c:v>
                </c:pt>
              </c:numCache>
            </c:numRef>
          </c:xVal>
          <c:yVal>
            <c:numRef>
              <c:f>Plot!$F$38:$F$40</c:f>
              <c:numCache>
                <c:formatCode>General</c:formatCode>
                <c:ptCount val="3"/>
                <c:pt idx="0">
                  <c:v>0.16363338611324352</c:v>
                </c:pt>
                <c:pt idx="1">
                  <c:v>9.5926230903096155E-3</c:v>
                </c:pt>
                <c:pt idx="2">
                  <c:v>0.25229530050131999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596912"/>
        <c:axId val="369913800"/>
      </c:scatterChart>
      <c:valAx>
        <c:axId val="370596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MWCNT Mass (mg)</a:t>
                </a:r>
              </a:p>
            </c:rich>
          </c:tx>
          <c:layout>
            <c:manualLayout>
              <c:xMode val="edge"/>
              <c:yMode val="edge"/>
              <c:x val="0.42629046369203855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913800"/>
        <c:crosses val="autoZero"/>
        <c:crossBetween val="midCat"/>
      </c:valAx>
      <c:valAx>
        <c:axId val="369913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4720290172061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596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987029746281717"/>
          <c:y val="0.10726778944298625"/>
          <c:w val="0.12512970253718286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MWCNT-SIL40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90048118985128"/>
          <c:y val="3.7453703703703718E-2"/>
          <c:w val="0.84328018372703406"/>
          <c:h val="0.80790135608048996"/>
        </c:manualLayout>
      </c:layout>
      <c:scatterChart>
        <c:scatterStyle val="lineMarker"/>
        <c:varyColors val="0"/>
        <c:ser>
          <c:idx val="0"/>
          <c:order val="0"/>
          <c:tx>
            <c:strRef>
              <c:f>Plot!$N$2</c:f>
              <c:strCache>
                <c:ptCount val="1"/>
                <c:pt idx="0">
                  <c:v>WetMix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Plot!$N$38:$N$44</c:f>
              <c:numCache>
                <c:formatCode>General</c:formatCode>
                <c:ptCount val="7"/>
                <c:pt idx="0">
                  <c:v>5.6899999999999999E-2</c:v>
                </c:pt>
                <c:pt idx="1">
                  <c:v>8.0799999999999983E-2</c:v>
                </c:pt>
                <c:pt idx="2">
                  <c:v>9.4400000000000012E-2</c:v>
                </c:pt>
                <c:pt idx="3">
                  <c:v>0.13109999999999999</c:v>
                </c:pt>
                <c:pt idx="4">
                  <c:v>0.13589999999999999</c:v>
                </c:pt>
                <c:pt idx="5">
                  <c:v>0.16599999999999998</c:v>
                </c:pt>
                <c:pt idx="6">
                  <c:v>0.21159999999999998</c:v>
                </c:pt>
              </c:numCache>
            </c:numRef>
          </c:xVal>
          <c:yVal>
            <c:numRef>
              <c:f>Plot!$O$38:$O$44</c:f>
              <c:numCache>
                <c:formatCode>General</c:formatCode>
                <c:ptCount val="7"/>
                <c:pt idx="0">
                  <c:v>0.68210069430473297</c:v>
                </c:pt>
                <c:pt idx="1">
                  <c:v>0.68442900088007619</c:v>
                </c:pt>
                <c:pt idx="2">
                  <c:v>0.86603691375474057</c:v>
                </c:pt>
                <c:pt idx="3">
                  <c:v>1.2816862035802643</c:v>
                </c:pt>
                <c:pt idx="4">
                  <c:v>1.1942350086113578</c:v>
                </c:pt>
                <c:pt idx="5">
                  <c:v>0.34291299241262152</c:v>
                </c:pt>
                <c:pt idx="6">
                  <c:v>0.47834828366925919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Plot!$Q$36</c:f>
              <c:strCache>
                <c:ptCount val="1"/>
                <c:pt idx="0">
                  <c:v>DryMix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Plot!$Q$38:$Q$40</c:f>
              <c:numCache>
                <c:formatCode>General</c:formatCode>
                <c:ptCount val="3"/>
                <c:pt idx="0">
                  <c:v>2.5700000000000001E-2</c:v>
                </c:pt>
                <c:pt idx="1">
                  <c:v>5.1400000000000001E-2</c:v>
                </c:pt>
                <c:pt idx="2">
                  <c:v>0.42000000000000004</c:v>
                </c:pt>
              </c:numCache>
            </c:numRef>
          </c:xVal>
          <c:yVal>
            <c:numRef>
              <c:f>Plot!$R$38:$R$40</c:f>
              <c:numCache>
                <c:formatCode>General</c:formatCode>
                <c:ptCount val="3"/>
                <c:pt idx="0">
                  <c:v>0.3519468219248445</c:v>
                </c:pt>
                <c:pt idx="1">
                  <c:v>3.6321582574849742E-3</c:v>
                </c:pt>
                <c:pt idx="2">
                  <c:v>0.37476422636294515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596520"/>
        <c:axId val="370596128"/>
      </c:scatterChart>
      <c:valAx>
        <c:axId val="370596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MWCNT Mass (mg)</a:t>
                </a:r>
              </a:p>
            </c:rich>
          </c:tx>
          <c:layout>
            <c:manualLayout>
              <c:xMode val="edge"/>
              <c:yMode val="edge"/>
              <c:x val="0.42629046369203855"/>
              <c:y val="0.929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596128"/>
        <c:crosses val="autoZero"/>
        <c:crossBetween val="midCat"/>
      </c:valAx>
      <c:valAx>
        <c:axId val="370596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4720290172061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596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987029746281717"/>
          <c:y val="0.10726778944298625"/>
          <c:w val="0.12512970253718286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MWCNT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15048118985127"/>
          <c:y val="0.17171296296296296"/>
          <c:w val="0.82959470691163606"/>
          <c:h val="0.62271617089530473"/>
        </c:manualLayout>
      </c:layout>
      <c:scatterChart>
        <c:scatterStyle val="lineMarker"/>
        <c:varyColors val="0"/>
        <c:ser>
          <c:idx val="0"/>
          <c:order val="0"/>
          <c:tx>
            <c:v>DryMWCNT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(#REF!,#REF!,#REF!)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Dispersion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[1]Sheet1!$L$7:$L$9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[1]Sheet1!$Q$7:$Q$9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595344"/>
        <c:axId val="369914584"/>
      </c:scatterChart>
      <c:valAx>
        <c:axId val="370595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MWCNT</a:t>
                </a:r>
                <a:r>
                  <a:rPr lang="en-US" baseline="0"/>
                  <a:t> Mass (mg)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3176408831249036"/>
              <c:y val="0.926309031514945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914584"/>
        <c:crosses val="autoZero"/>
        <c:crossBetween val="midCat"/>
      </c:valAx>
      <c:valAx>
        <c:axId val="3699145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388869568387284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595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9074518810148722"/>
          <c:y val="5.6341863517060338E-2"/>
          <c:w val="0.30925481189851262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15</xdr:row>
      <xdr:rowOff>23812</xdr:rowOff>
    </xdr:from>
    <xdr:to>
      <xdr:col>12</xdr:col>
      <xdr:colOff>47625</xdr:colOff>
      <xdr:row>29</xdr:row>
      <xdr:rowOff>100012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42862</xdr:rowOff>
    </xdr:from>
    <xdr:to>
      <xdr:col>5</xdr:col>
      <xdr:colOff>152400</xdr:colOff>
      <xdr:row>26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257175</xdr:colOff>
      <xdr:row>12</xdr:row>
      <xdr:rowOff>57150</xdr:rowOff>
    </xdr:from>
    <xdr:to>
      <xdr:col>11</xdr:col>
      <xdr:colOff>28575</xdr:colOff>
      <xdr:row>26</xdr:row>
      <xdr:rowOff>52386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28575</xdr:colOff>
      <xdr:row>11</xdr:row>
      <xdr:rowOff>166686</xdr:rowOff>
    </xdr:from>
    <xdr:to>
      <xdr:col>18</xdr:col>
      <xdr:colOff>161925</xdr:colOff>
      <xdr:row>29</xdr:row>
      <xdr:rowOff>19049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552450</xdr:colOff>
      <xdr:row>45</xdr:row>
      <xdr:rowOff>66675</xdr:rowOff>
    </xdr:from>
    <xdr:to>
      <xdr:col>8</xdr:col>
      <xdr:colOff>47625</xdr:colOff>
      <xdr:row>59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571500</xdr:colOff>
      <xdr:row>46</xdr:row>
      <xdr:rowOff>9525</xdr:rowOff>
    </xdr:from>
    <xdr:to>
      <xdr:col>20</xdr:col>
      <xdr:colOff>0</xdr:colOff>
      <xdr:row>60</xdr:row>
      <xdr:rowOff>85725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485775</xdr:colOff>
      <xdr:row>66</xdr:row>
      <xdr:rowOff>161925</xdr:rowOff>
    </xdr:from>
    <xdr:to>
      <xdr:col>7</xdr:col>
      <xdr:colOff>342900</xdr:colOff>
      <xdr:row>80</xdr:row>
      <xdr:rowOff>142875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02015PureMWC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MWCNT"/>
      <sheetName val="Dispersion"/>
      <sheetName val="SWCNT"/>
      <sheetName val="MWCNT-COOH"/>
      <sheetName val="Plot"/>
      <sheetName val="Sheet1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S21"/>
  <sheetViews>
    <sheetView tabSelected="1" workbookViewId="0">
      <selection activeCell="M21" sqref="M21"/>
    </sheetView>
  </sheetViews>
  <sheetFormatPr defaultRowHeight="15"/>
  <sheetData>
    <row r="2" spans="4:19">
      <c r="D2" s="200">
        <v>42100</v>
      </c>
    </row>
    <row r="3" spans="4:19">
      <c r="J3">
        <f>1.5/50</f>
        <v>0.03</v>
      </c>
    </row>
    <row r="4" spans="4:19">
      <c r="E4" t="s">
        <v>0</v>
      </c>
      <c r="G4" s="1" t="s">
        <v>1</v>
      </c>
    </row>
    <row r="5" spans="4:19" ht="18">
      <c r="G5">
        <f>0.1324-0.0051</f>
        <v>0.1273</v>
      </c>
      <c r="H5" t="s">
        <v>2</v>
      </c>
      <c r="I5" t="s">
        <v>3</v>
      </c>
      <c r="J5" t="s">
        <v>4</v>
      </c>
      <c r="K5" t="s">
        <v>5</v>
      </c>
      <c r="L5" s="2" t="s">
        <v>6</v>
      </c>
      <c r="N5">
        <f>(G5/20.05)*20</f>
        <v>0.12698254364089775</v>
      </c>
      <c r="O5" s="63">
        <v>4.4333751161918009</v>
      </c>
    </row>
    <row r="6" spans="4:19">
      <c r="H6">
        <v>20</v>
      </c>
      <c r="I6">
        <v>100</v>
      </c>
      <c r="J6">
        <v>24.423731084092331</v>
      </c>
      <c r="K6">
        <v>28.857106200284132</v>
      </c>
      <c r="L6">
        <f>K6-J6</f>
        <v>4.4333751161918009</v>
      </c>
    </row>
    <row r="7" spans="4:19">
      <c r="E7" t="s">
        <v>7</v>
      </c>
      <c r="G7" s="1" t="s">
        <v>8</v>
      </c>
    </row>
    <row r="8" spans="4:19" ht="18">
      <c r="G8">
        <f>0.0524-0.006</f>
        <v>4.6400000000000004E-2</v>
      </c>
      <c r="H8" t="s">
        <v>2</v>
      </c>
      <c r="I8" t="s">
        <v>3</v>
      </c>
      <c r="J8" t="s">
        <v>4</v>
      </c>
      <c r="K8" t="s">
        <v>5</v>
      </c>
      <c r="L8" s="2" t="s">
        <v>6</v>
      </c>
      <c r="N8" s="92">
        <f>(G8/20.08)*20</f>
        <v>4.6215139442231087E-2</v>
      </c>
      <c r="O8" s="92">
        <v>0.90310355443381596</v>
      </c>
    </row>
    <row r="9" spans="4:19">
      <c r="H9">
        <v>20</v>
      </c>
      <c r="I9">
        <v>100</v>
      </c>
      <c r="J9">
        <v>25.62802437710906</v>
      </c>
      <c r="K9">
        <v>26.531127931542876</v>
      </c>
      <c r="L9">
        <f>K9-J9</f>
        <v>0.90310355443381596</v>
      </c>
      <c r="S9">
        <f>0.03*2</f>
        <v>0.06</v>
      </c>
    </row>
    <row r="10" spans="4:19">
      <c r="E10" t="s">
        <v>7</v>
      </c>
      <c r="G10" s="1" t="s">
        <v>9</v>
      </c>
    </row>
    <row r="11" spans="4:19" ht="18">
      <c r="G11">
        <f>0.0574-0.012</f>
        <v>4.5399999999999996E-2</v>
      </c>
      <c r="H11" t="s">
        <v>2</v>
      </c>
      <c r="I11" t="s">
        <v>3</v>
      </c>
      <c r="J11" t="s">
        <v>4</v>
      </c>
      <c r="K11" t="s">
        <v>5</v>
      </c>
      <c r="L11" s="2" t="s">
        <v>6</v>
      </c>
      <c r="N11" s="92">
        <f>(G11/20.08)*20</f>
        <v>4.5219123505976094E-2</v>
      </c>
      <c r="O11">
        <v>0.72512779981660458</v>
      </c>
    </row>
    <row r="12" spans="4:19">
      <c r="H12">
        <v>20</v>
      </c>
      <c r="I12">
        <v>100</v>
      </c>
      <c r="J12">
        <v>24.775398509228133</v>
      </c>
      <c r="K12">
        <v>25.500526309044737</v>
      </c>
      <c r="L12">
        <f>K12-J12</f>
        <v>0.72512779981660458</v>
      </c>
    </row>
    <row r="13" spans="4:19">
      <c r="E13" t="s">
        <v>7</v>
      </c>
      <c r="G13" s="1" t="s">
        <v>10</v>
      </c>
    </row>
    <row r="14" spans="4:19" ht="18">
      <c r="G14">
        <f>0.0572-0.0003</f>
        <v>5.6899999999999999E-2</v>
      </c>
      <c r="H14" t="s">
        <v>2</v>
      </c>
      <c r="I14" t="s">
        <v>3</v>
      </c>
      <c r="J14" t="s">
        <v>4</v>
      </c>
      <c r="K14" t="s">
        <v>5</v>
      </c>
      <c r="L14" s="2" t="s">
        <v>6</v>
      </c>
      <c r="N14" s="92">
        <f>(G14/20.08)*20</f>
        <v>5.6673306772908369E-2</v>
      </c>
      <c r="O14">
        <v>0.68210069430473297</v>
      </c>
    </row>
    <row r="15" spans="4:19">
      <c r="H15">
        <v>20</v>
      </c>
      <c r="I15">
        <v>100</v>
      </c>
      <c r="J15">
        <v>25.631470270840552</v>
      </c>
      <c r="K15">
        <v>26.313570965145285</v>
      </c>
      <c r="L15">
        <f>K15-J15</f>
        <v>0.68210069430473297</v>
      </c>
    </row>
    <row r="18" spans="4:13">
      <c r="D18" s="200">
        <v>42279</v>
      </c>
      <c r="F18" s="1" t="s">
        <v>68</v>
      </c>
      <c r="G18" s="255"/>
      <c r="H18" s="255" t="s">
        <v>66</v>
      </c>
      <c r="I18" s="255"/>
      <c r="J18" s="255"/>
      <c r="K18" s="255"/>
    </row>
    <row r="19" spans="4:13" ht="18">
      <c r="F19" s="255">
        <f>0.1454-0.002</f>
        <v>0.1434</v>
      </c>
      <c r="G19" s="255" t="s">
        <v>2</v>
      </c>
      <c r="H19" s="255" t="s">
        <v>3</v>
      </c>
      <c r="I19" s="255" t="s">
        <v>4</v>
      </c>
      <c r="J19" s="255" t="s">
        <v>5</v>
      </c>
      <c r="K19" s="2" t="s">
        <v>6</v>
      </c>
      <c r="M19">
        <f>1.338/(0.01*3389)</f>
        <v>3.9480672764827383E-2</v>
      </c>
    </row>
    <row r="20" spans="4:13">
      <c r="F20" s="255">
        <f>F19/20*M20</f>
        <v>1.4153821186190618E-3</v>
      </c>
      <c r="G20" s="255">
        <v>20</v>
      </c>
      <c r="H20" s="255">
        <v>100</v>
      </c>
      <c r="I20" s="257">
        <v>24.076720272107138</v>
      </c>
      <c r="J20" s="256">
        <v>24.41367279968696</v>
      </c>
      <c r="K20" s="255">
        <f>J20-I20</f>
        <v>0.33695252757982175</v>
      </c>
      <c r="M20">
        <f>M19*5</f>
        <v>0.19740336382413692</v>
      </c>
    </row>
    <row r="21" spans="4:13">
      <c r="D21" t="s">
        <v>67</v>
      </c>
      <c r="E21">
        <f>F21/F19</f>
        <v>9.8701681912068473</v>
      </c>
      <c r="F21">
        <f>1000*F20</f>
        <v>1.4153821186190618</v>
      </c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R19"/>
  <sheetViews>
    <sheetView workbookViewId="0">
      <selection activeCell="J19" sqref="J19"/>
    </sheetView>
  </sheetViews>
  <sheetFormatPr defaultRowHeight="15"/>
  <sheetData>
    <row r="3" spans="4:18">
      <c r="D3" s="200">
        <v>42128</v>
      </c>
    </row>
    <row r="4" spans="4:18">
      <c r="E4">
        <v>60</v>
      </c>
    </row>
    <row r="5" spans="4:18" ht="18">
      <c r="E5" s="191" t="s">
        <v>51</v>
      </c>
      <c r="F5" s="191"/>
      <c r="G5" s="191">
        <f>0.1315-0.0006</f>
        <v>0.13090000000000002</v>
      </c>
      <c r="H5" s="191" t="s">
        <v>2</v>
      </c>
      <c r="I5" s="191" t="s">
        <v>3</v>
      </c>
      <c r="J5" s="191" t="s">
        <v>4</v>
      </c>
      <c r="K5" s="191" t="s">
        <v>5</v>
      </c>
      <c r="L5" s="2" t="s">
        <v>6</v>
      </c>
    </row>
    <row r="6" spans="4:18">
      <c r="E6" s="191"/>
      <c r="F6" s="191"/>
      <c r="G6" s="191"/>
      <c r="H6" s="191">
        <v>20</v>
      </c>
      <c r="I6" s="191">
        <v>100</v>
      </c>
      <c r="J6" s="193">
        <v>25.106111175186108</v>
      </c>
      <c r="K6" s="192">
        <v>25.121384866320174</v>
      </c>
      <c r="L6" s="191">
        <f>K6-J6</f>
        <v>1.527369113406607E-2</v>
      </c>
    </row>
    <row r="7" spans="4:18" ht="18">
      <c r="E7" s="191" t="s">
        <v>52</v>
      </c>
      <c r="F7" s="191"/>
      <c r="G7" s="191">
        <f>0.0607-0.0003</f>
        <v>6.0399999999999995E-2</v>
      </c>
      <c r="H7" s="191" t="s">
        <v>2</v>
      </c>
      <c r="I7" s="191" t="s">
        <v>3</v>
      </c>
      <c r="J7" s="191" t="s">
        <v>4</v>
      </c>
      <c r="K7" s="191" t="s">
        <v>5</v>
      </c>
      <c r="L7" s="2" t="s">
        <v>6</v>
      </c>
    </row>
    <row r="8" spans="4:18">
      <c r="E8" s="191"/>
      <c r="F8" s="191"/>
      <c r="G8" s="191"/>
      <c r="H8" s="191">
        <v>20</v>
      </c>
      <c r="I8" s="191">
        <v>100</v>
      </c>
      <c r="J8" s="195">
        <v>26.30472340015908</v>
      </c>
      <c r="K8" s="194">
        <v>26.317668784717856</v>
      </c>
      <c r="L8" s="191">
        <f>K8-J8</f>
        <v>1.2945384558776141E-2</v>
      </c>
    </row>
    <row r="10" spans="4:18">
      <c r="E10" t="s">
        <v>60</v>
      </c>
      <c r="F10" s="193"/>
      <c r="G10" s="1" t="s">
        <v>1</v>
      </c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</row>
    <row r="11" spans="4:18" ht="18">
      <c r="F11" s="193"/>
      <c r="G11" s="193">
        <f>0.129-0</f>
        <v>0.129</v>
      </c>
      <c r="H11" s="193" t="s">
        <v>2</v>
      </c>
      <c r="I11" s="193" t="s">
        <v>3</v>
      </c>
      <c r="J11" s="193" t="s">
        <v>4</v>
      </c>
      <c r="K11" s="193" t="s">
        <v>5</v>
      </c>
      <c r="L11" s="2" t="s">
        <v>6</v>
      </c>
      <c r="M11" s="193">
        <f>0.124-0.0012</f>
        <v>0.12279999999999999</v>
      </c>
      <c r="N11" s="193" t="s">
        <v>2</v>
      </c>
      <c r="O11" s="193" t="s">
        <v>3</v>
      </c>
      <c r="P11" s="193" t="s">
        <v>4</v>
      </c>
      <c r="Q11" s="193" t="s">
        <v>5</v>
      </c>
      <c r="R11" s="2" t="s">
        <v>6</v>
      </c>
    </row>
    <row r="12" spans="4:18">
      <c r="F12" s="193"/>
      <c r="G12" s="193"/>
      <c r="H12" s="193">
        <v>20</v>
      </c>
      <c r="I12" s="193">
        <v>100</v>
      </c>
      <c r="J12" s="197">
        <v>25.958271381751974</v>
      </c>
      <c r="K12" s="196">
        <v>27.388689809363481</v>
      </c>
      <c r="L12" s="193">
        <f>K12-J12</f>
        <v>1.4304184276115066</v>
      </c>
      <c r="M12" s="193"/>
      <c r="N12" s="193">
        <v>20</v>
      </c>
      <c r="O12" s="193">
        <v>100</v>
      </c>
      <c r="P12" s="199">
        <v>26.709755612001167</v>
      </c>
      <c r="Q12" s="198">
        <v>27.780497239857748</v>
      </c>
      <c r="R12" s="193">
        <f>Q12-P12</f>
        <v>1.0707416278565809</v>
      </c>
    </row>
    <row r="15" spans="4:18">
      <c r="E15" s="199">
        <v>80</v>
      </c>
      <c r="F15" s="199"/>
      <c r="G15" s="199"/>
      <c r="H15" s="199"/>
      <c r="I15" s="199"/>
      <c r="J15" s="199"/>
      <c r="K15" s="199"/>
      <c r="L15" s="199"/>
    </row>
    <row r="16" spans="4:18" ht="18">
      <c r="E16" s="199" t="s">
        <v>51</v>
      </c>
      <c r="F16" s="199"/>
      <c r="G16" s="199">
        <f>0.1387-0.0081</f>
        <v>0.13059999999999999</v>
      </c>
      <c r="H16" s="199" t="s">
        <v>2</v>
      </c>
      <c r="I16" s="199" t="s">
        <v>3</v>
      </c>
      <c r="J16" s="199" t="s">
        <v>4</v>
      </c>
      <c r="K16" s="199" t="s">
        <v>5</v>
      </c>
      <c r="L16" s="2" t="s">
        <v>6</v>
      </c>
    </row>
    <row r="17" spans="5:12">
      <c r="E17" s="199"/>
      <c r="F17" s="199"/>
      <c r="G17" s="199"/>
      <c r="H17" s="199">
        <v>20</v>
      </c>
      <c r="I17" s="199">
        <v>100</v>
      </c>
      <c r="J17" s="202">
        <v>24.094974195657631</v>
      </c>
      <c r="K17" s="201">
        <v>24.099258279756199</v>
      </c>
      <c r="L17" s="199">
        <f>K17-J17</f>
        <v>4.284084098568286E-3</v>
      </c>
    </row>
    <row r="18" spans="5:12" ht="18">
      <c r="E18" s="199" t="s">
        <v>52</v>
      </c>
      <c r="F18" s="199"/>
      <c r="G18" s="199">
        <f>0.0692-0.0178</f>
        <v>5.1400000000000001E-2</v>
      </c>
      <c r="H18" s="199" t="s">
        <v>2</v>
      </c>
      <c r="I18" s="199" t="s">
        <v>3</v>
      </c>
      <c r="J18" s="199" t="s">
        <v>4</v>
      </c>
      <c r="K18" s="199" t="s">
        <v>5</v>
      </c>
      <c r="L18" s="2" t="s">
        <v>6</v>
      </c>
    </row>
    <row r="19" spans="5:12">
      <c r="E19" s="199"/>
      <c r="F19" s="199"/>
      <c r="G19" s="199"/>
      <c r="H19" s="199">
        <v>20</v>
      </c>
      <c r="I19" s="199">
        <v>100</v>
      </c>
      <c r="J19" s="204">
        <v>24.289154964039035</v>
      </c>
      <c r="K19" s="203">
        <v>24.436583336388086</v>
      </c>
      <c r="L19" s="199">
        <f>K19-J19</f>
        <v>0.14742837234905082</v>
      </c>
    </row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opLeftCell="A7" workbookViewId="0">
      <selection activeCell="L11" sqref="L11"/>
    </sheetView>
  </sheetViews>
  <sheetFormatPr defaultRowHeight="15"/>
  <cols>
    <col min="2" max="2" width="13.28515625" customWidth="1"/>
    <col min="5" max="5" width="13" customWidth="1"/>
    <col min="8" max="8" width="13.28515625" customWidth="1"/>
    <col min="14" max="14" width="13.5703125" customWidth="1"/>
    <col min="15" max="15" width="14.5703125" customWidth="1"/>
    <col min="17" max="17" width="12.42578125" customWidth="1"/>
  </cols>
  <sheetData>
    <row r="1" spans="1:18">
      <c r="A1" s="105" t="s">
        <v>33</v>
      </c>
      <c r="M1" s="105" t="s">
        <v>37</v>
      </c>
    </row>
    <row r="2" spans="1:18">
      <c r="B2" t="s">
        <v>28</v>
      </c>
      <c r="D2" t="s">
        <v>30</v>
      </c>
      <c r="G2" t="s">
        <v>32</v>
      </c>
      <c r="N2" t="s">
        <v>28</v>
      </c>
    </row>
    <row r="3" spans="1:18">
      <c r="B3" s="100" t="s">
        <v>31</v>
      </c>
      <c r="C3" s="93" t="s">
        <v>6</v>
      </c>
      <c r="E3" s="100" t="s">
        <v>31</v>
      </c>
      <c r="F3" s="93" t="s">
        <v>6</v>
      </c>
      <c r="H3" s="100" t="s">
        <v>31</v>
      </c>
      <c r="I3" s="93" t="s">
        <v>6</v>
      </c>
      <c r="N3" s="100" t="s">
        <v>31</v>
      </c>
      <c r="O3" s="93" t="s">
        <v>6</v>
      </c>
      <c r="Q3" s="100" t="s">
        <v>31</v>
      </c>
      <c r="R3" s="93" t="s">
        <v>6</v>
      </c>
    </row>
    <row r="4" spans="1:18">
      <c r="B4" s="101">
        <v>0.46970297029702979</v>
      </c>
      <c r="C4" s="102">
        <v>8.6475168852518074</v>
      </c>
      <c r="E4" s="101">
        <v>6.7449999999999996E-2</v>
      </c>
      <c r="F4" s="102">
        <v>0.43613838768833446</v>
      </c>
      <c r="H4" s="96">
        <v>3.6</v>
      </c>
      <c r="I4" s="97">
        <v>87.542650851169299</v>
      </c>
      <c r="N4" s="94">
        <v>4.6215139442231087E-2</v>
      </c>
      <c r="O4" s="95">
        <v>0.90310355443381596</v>
      </c>
      <c r="Q4" s="94">
        <v>8.1699999999999995E-2</v>
      </c>
      <c r="R4" s="95">
        <v>0.15851111164754528</v>
      </c>
    </row>
    <row r="5" spans="1:18">
      <c r="B5" s="101">
        <v>0.34957816377171219</v>
      </c>
      <c r="C5" s="102">
        <v>7.5051565471384691</v>
      </c>
      <c r="E5" s="101">
        <v>0.13500000000000001</v>
      </c>
      <c r="F5" s="102">
        <v>3.7367457888571067</v>
      </c>
      <c r="H5" s="96">
        <v>2.7</v>
      </c>
      <c r="I5" s="97">
        <v>63.387122058100829</v>
      </c>
      <c r="N5" s="96">
        <v>0.123</v>
      </c>
      <c r="O5" s="97">
        <v>0.68033118130750481</v>
      </c>
      <c r="P5" s="109"/>
      <c r="Q5" s="98">
        <v>0.29199999999999998</v>
      </c>
      <c r="R5" s="99">
        <v>0.33397229516339522</v>
      </c>
    </row>
    <row r="6" spans="1:18">
      <c r="B6" s="101">
        <v>0.25970149253731345</v>
      </c>
      <c r="C6" s="102">
        <v>6.6314827878166938</v>
      </c>
      <c r="E6" s="101">
        <v>0.26800000000000002</v>
      </c>
      <c r="F6" s="102">
        <v>8.2934280212776663</v>
      </c>
      <c r="H6" s="96">
        <v>3</v>
      </c>
      <c r="I6" s="97">
        <v>69.632105954414953</v>
      </c>
      <c r="N6" s="96">
        <v>0.16320000000000001</v>
      </c>
      <c r="O6" s="97">
        <v>1.2064353350660539</v>
      </c>
      <c r="P6" s="109"/>
    </row>
    <row r="7" spans="1:18">
      <c r="B7" s="101">
        <v>0.12698254364089775</v>
      </c>
      <c r="C7" s="102">
        <v>4.4333751161918009</v>
      </c>
      <c r="E7" s="101">
        <v>0.39929999999999999</v>
      </c>
      <c r="F7" s="102">
        <v>11.895970219133513</v>
      </c>
      <c r="H7" s="96">
        <v>3.3</v>
      </c>
      <c r="I7" s="97">
        <v>86.276797132301155</v>
      </c>
      <c r="N7" s="96">
        <v>0.22600000000000003</v>
      </c>
      <c r="O7" s="97">
        <v>0.6726012034774449</v>
      </c>
      <c r="P7" s="109"/>
    </row>
    <row r="8" spans="1:18">
      <c r="B8" s="98">
        <v>0.65876543209876537</v>
      </c>
      <c r="C8" s="99">
        <v>9.3220585180555897</v>
      </c>
      <c r="D8" s="112"/>
      <c r="E8" s="101">
        <v>0.53359999999999996</v>
      </c>
      <c r="F8" s="102">
        <v>20.463952151772489</v>
      </c>
      <c r="H8" s="96">
        <v>4.2</v>
      </c>
      <c r="I8" s="97">
        <v>109.97858553997196</v>
      </c>
      <c r="N8" s="96">
        <v>0.16289999999999999</v>
      </c>
      <c r="O8" s="97">
        <v>1.1897646599867713</v>
      </c>
      <c r="P8" s="109"/>
    </row>
    <row r="9" spans="1:18">
      <c r="B9" s="153">
        <v>0.59085095917363506</v>
      </c>
      <c r="C9" s="135">
        <v>9.507500201910748</v>
      </c>
      <c r="E9" s="103">
        <v>0.66500000000000004</v>
      </c>
      <c r="F9" s="104">
        <v>30.359068832341961</v>
      </c>
      <c r="H9" s="96">
        <v>4.0999999999999996</v>
      </c>
      <c r="I9" s="97">
        <v>97.12000025033953</v>
      </c>
      <c r="N9">
        <v>0.51839999999999997</v>
      </c>
      <c r="O9">
        <v>1.5460886982732021</v>
      </c>
      <c r="P9" s="109"/>
    </row>
    <row r="10" spans="1:18">
      <c r="B10" s="135">
        <v>0.71598622725036898</v>
      </c>
      <c r="C10" s="135">
        <v>9.7085727577550749</v>
      </c>
      <c r="H10" s="98">
        <v>2.8</v>
      </c>
      <c r="I10" s="99">
        <v>73.783476578204429</v>
      </c>
      <c r="P10" s="109"/>
    </row>
    <row r="11" spans="1:18">
      <c r="B11" s="175">
        <v>0.91177042801556429</v>
      </c>
      <c r="C11" s="175">
        <v>10.499917596573699</v>
      </c>
    </row>
    <row r="12" spans="1:18">
      <c r="B12" s="135"/>
      <c r="C12" s="135"/>
      <c r="N12" s="179"/>
    </row>
    <row r="35" spans="1:18">
      <c r="A35" s="105" t="s">
        <v>38</v>
      </c>
      <c r="M35" s="105" t="s">
        <v>39</v>
      </c>
    </row>
    <row r="36" spans="1:18">
      <c r="B36" s="109" t="s">
        <v>28</v>
      </c>
      <c r="C36" s="109"/>
      <c r="E36" t="s">
        <v>30</v>
      </c>
      <c r="N36" s="109" t="s">
        <v>28</v>
      </c>
      <c r="O36" s="109"/>
      <c r="P36" s="109"/>
      <c r="Q36" s="109" t="s">
        <v>30</v>
      </c>
      <c r="R36" s="109"/>
    </row>
    <row r="37" spans="1:18">
      <c r="B37" s="100" t="s">
        <v>31</v>
      </c>
      <c r="C37" s="93" t="s">
        <v>6</v>
      </c>
      <c r="E37" s="100" t="s">
        <v>31</v>
      </c>
      <c r="F37" s="93" t="s">
        <v>6</v>
      </c>
      <c r="N37" s="100" t="s">
        <v>31</v>
      </c>
      <c r="O37" s="93" t="s">
        <v>6</v>
      </c>
      <c r="P37" s="109"/>
      <c r="Q37" s="100" t="s">
        <v>31</v>
      </c>
      <c r="R37" s="93" t="s">
        <v>6</v>
      </c>
    </row>
    <row r="38" spans="1:18">
      <c r="B38" s="107">
        <v>4.5219123505976094E-2</v>
      </c>
      <c r="C38" s="110">
        <v>0.72512779981660458</v>
      </c>
      <c r="E38" s="107">
        <v>3.5700000000000003E-2</v>
      </c>
      <c r="F38" s="110">
        <v>0.16363338611324352</v>
      </c>
      <c r="N38" s="107">
        <v>5.6899999999999999E-2</v>
      </c>
      <c r="O38" s="110">
        <v>0.68210069430473297</v>
      </c>
      <c r="Q38" s="107">
        <v>2.5700000000000001E-2</v>
      </c>
      <c r="R38" s="110">
        <v>0.3519468219248445</v>
      </c>
    </row>
    <row r="39" spans="1:18">
      <c r="B39" s="101">
        <v>0.1144</v>
      </c>
      <c r="C39" s="102">
        <v>0.34132974394140803</v>
      </c>
      <c r="D39" s="109"/>
      <c r="E39" s="101">
        <v>7.1400000000000005E-2</v>
      </c>
      <c r="F39" s="102">
        <v>9.5926230903096155E-3</v>
      </c>
      <c r="N39" s="101">
        <v>8.0799999999999983E-2</v>
      </c>
      <c r="O39" s="102">
        <v>0.68442900088007619</v>
      </c>
      <c r="P39" s="109"/>
      <c r="Q39" s="101">
        <v>5.1400000000000001E-2</v>
      </c>
      <c r="R39" s="102">
        <v>3.6321582574849742E-3</v>
      </c>
    </row>
    <row r="40" spans="1:18">
      <c r="B40" s="101">
        <v>0.1042</v>
      </c>
      <c r="C40" s="102">
        <v>0.51576647256413466</v>
      </c>
      <c r="D40" s="109"/>
      <c r="E40" s="103">
        <v>0.34450000000000003</v>
      </c>
      <c r="F40" s="104">
        <v>0.25229530050131999</v>
      </c>
      <c r="N40" s="101">
        <v>9.4400000000000012E-2</v>
      </c>
      <c r="O40" s="102">
        <v>0.86603691375474057</v>
      </c>
      <c r="P40" s="109"/>
      <c r="Q40" s="103">
        <v>0.42000000000000004</v>
      </c>
      <c r="R40" s="104">
        <v>0.37476422636294515</v>
      </c>
    </row>
    <row r="41" spans="1:18">
      <c r="B41" s="101">
        <v>0.15930000000000002</v>
      </c>
      <c r="C41" s="102">
        <v>0.95609581208800876</v>
      </c>
      <c r="D41" s="109"/>
      <c r="N41" s="101">
        <v>0.13109999999999999</v>
      </c>
      <c r="O41" s="102">
        <v>1.2816862035802643</v>
      </c>
      <c r="P41" s="109"/>
    </row>
    <row r="42" spans="1:18">
      <c r="B42" s="101">
        <v>0.14909999999999998</v>
      </c>
      <c r="C42" s="102">
        <v>0.85569923256035096</v>
      </c>
      <c r="D42" s="109"/>
      <c r="N42" s="101">
        <v>0.13589999999999999</v>
      </c>
      <c r="O42" s="102">
        <v>1.1942350086113578</v>
      </c>
      <c r="P42" s="109"/>
    </row>
    <row r="43" spans="1:18">
      <c r="B43" s="101">
        <v>0.19</v>
      </c>
      <c r="C43" s="102">
        <v>0.52582475696950581</v>
      </c>
      <c r="D43" s="109"/>
      <c r="N43" s="101">
        <v>0.16599999999999998</v>
      </c>
      <c r="O43" s="102">
        <v>0.34291299241262152</v>
      </c>
      <c r="P43" s="109"/>
    </row>
    <row r="44" spans="1:18">
      <c r="B44" s="101">
        <v>0.19839999999999999</v>
      </c>
      <c r="C44" s="102">
        <v>0.68545345577319949</v>
      </c>
      <c r="D44" s="109"/>
      <c r="N44" s="101">
        <v>0.21159999999999998</v>
      </c>
      <c r="O44" s="102">
        <v>0.47834828366925919</v>
      </c>
      <c r="P44" s="109"/>
    </row>
    <row r="45" spans="1:18">
      <c r="B45" s="98">
        <v>0.23284313725490199</v>
      </c>
      <c r="C45" s="99">
        <v>0.339187701892115</v>
      </c>
      <c r="N45" s="98">
        <v>0.16274509803921569</v>
      </c>
      <c r="O45" s="99">
        <v>0.35567211244535102</v>
      </c>
    </row>
  </sheetData>
  <phoneticPr fontId="4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V14"/>
  <sheetViews>
    <sheetView topLeftCell="C1" workbookViewId="0">
      <selection activeCell="H24" sqref="H24"/>
    </sheetView>
  </sheetViews>
  <sheetFormatPr defaultRowHeight="15"/>
  <sheetData>
    <row r="2" spans="4:22">
      <c r="F2" s="200">
        <v>42102</v>
      </c>
    </row>
    <row r="3" spans="4:22">
      <c r="D3" t="s">
        <v>0</v>
      </c>
      <c r="F3" s="1" t="s">
        <v>11</v>
      </c>
      <c r="S3" s="259" t="s">
        <v>34</v>
      </c>
      <c r="T3" s="259"/>
      <c r="U3" s="258" t="s">
        <v>6</v>
      </c>
      <c r="V3" s="259"/>
    </row>
    <row r="4" spans="4:22" ht="18">
      <c r="F4">
        <f>0.1622-0.0317</f>
        <v>0.1305</v>
      </c>
      <c r="G4" t="s">
        <v>2</v>
      </c>
      <c r="H4" t="s">
        <v>3</v>
      </c>
      <c r="I4" t="s">
        <v>4</v>
      </c>
      <c r="J4" t="s">
        <v>5</v>
      </c>
      <c r="K4" s="2" t="s">
        <v>6</v>
      </c>
      <c r="L4">
        <f>0.1448-0.0128</f>
        <v>0.13200000000000001</v>
      </c>
      <c r="M4" s="5" t="s">
        <v>2</v>
      </c>
      <c r="N4" s="5" t="s">
        <v>3</v>
      </c>
      <c r="O4" s="5" t="s">
        <v>4</v>
      </c>
      <c r="P4" s="5" t="s">
        <v>5</v>
      </c>
      <c r="Q4" s="2" t="s">
        <v>6</v>
      </c>
      <c r="S4" s="106" t="s">
        <v>35</v>
      </c>
      <c r="T4" s="106" t="s">
        <v>36</v>
      </c>
      <c r="U4" s="106" t="s">
        <v>35</v>
      </c>
      <c r="V4" s="106" t="s">
        <v>36</v>
      </c>
    </row>
    <row r="5" spans="4:22">
      <c r="G5">
        <v>20</v>
      </c>
      <c r="H5">
        <v>100</v>
      </c>
      <c r="I5" s="3">
        <v>23.744517489940975</v>
      </c>
      <c r="J5" s="4">
        <v>30.376000277757669</v>
      </c>
      <c r="K5">
        <f>J5-I5</f>
        <v>6.6314827878166938</v>
      </c>
      <c r="M5" s="6">
        <v>20</v>
      </c>
      <c r="N5" s="6">
        <v>100</v>
      </c>
      <c r="O5" s="6">
        <v>24.768041060450141</v>
      </c>
      <c r="P5" s="5">
        <v>32.395294004398224</v>
      </c>
      <c r="Q5" s="6">
        <f>P5-O5</f>
        <v>7.6272529439480827</v>
      </c>
      <c r="S5">
        <f>(F4/20.1)*40</f>
        <v>0.25970149253731345</v>
      </c>
      <c r="T5" s="92">
        <f>(L4/20.1)*40</f>
        <v>0.2626865671641791</v>
      </c>
      <c r="U5" s="63">
        <v>6.6314827878166938</v>
      </c>
      <c r="V5">
        <v>7.6272529439480827</v>
      </c>
    </row>
    <row r="6" spans="4:22">
      <c r="D6" t="s">
        <v>7</v>
      </c>
      <c r="F6" s="1" t="s">
        <v>12</v>
      </c>
    </row>
    <row r="7" spans="4:22" ht="18">
      <c r="F7">
        <f>0.0602-0.0062</f>
        <v>5.3999999999999999E-2</v>
      </c>
      <c r="G7" t="s">
        <v>2</v>
      </c>
      <c r="H7" t="s">
        <v>3</v>
      </c>
      <c r="I7" t="s">
        <v>4</v>
      </c>
      <c r="J7" t="s">
        <v>5</v>
      </c>
      <c r="K7" s="2" t="s">
        <v>6</v>
      </c>
      <c r="L7">
        <f>0.0615-0</f>
        <v>6.1499999999999999E-2</v>
      </c>
      <c r="M7" s="6" t="s">
        <v>2</v>
      </c>
      <c r="N7" s="6" t="s">
        <v>3</v>
      </c>
      <c r="O7" s="6" t="s">
        <v>4</v>
      </c>
      <c r="P7" s="6" t="s">
        <v>5</v>
      </c>
      <c r="Q7" s="2" t="s">
        <v>6</v>
      </c>
    </row>
    <row r="8" spans="4:22">
      <c r="G8">
        <v>20</v>
      </c>
      <c r="H8">
        <v>100</v>
      </c>
      <c r="I8" s="12">
        <v>24.091155772874103</v>
      </c>
      <c r="J8" s="11">
        <v>25.111419714177824</v>
      </c>
      <c r="K8">
        <f>J8-I8</f>
        <v>1.0202639413037211</v>
      </c>
      <c r="M8" s="6">
        <v>20</v>
      </c>
      <c r="N8" s="6">
        <v>100</v>
      </c>
      <c r="O8" s="13">
        <v>25.617686695914671</v>
      </c>
      <c r="P8" s="14">
        <v>26.298017877222176</v>
      </c>
      <c r="Q8" s="6">
        <f>P8-O8</f>
        <v>0.68033118130750481</v>
      </c>
      <c r="S8" s="92">
        <f>(F7/20)*40</f>
        <v>0.10800000000000001</v>
      </c>
      <c r="T8" s="92">
        <f>(L7/20)*40</f>
        <v>0.123</v>
      </c>
      <c r="U8">
        <v>1.0202639413037211</v>
      </c>
      <c r="V8">
        <v>0.68033118130750481</v>
      </c>
    </row>
    <row r="9" spans="4:22">
      <c r="D9" t="s">
        <v>7</v>
      </c>
      <c r="F9" s="1" t="s">
        <v>13</v>
      </c>
    </row>
    <row r="10" spans="4:22" ht="18">
      <c r="F10">
        <f>0.0775-0.0203</f>
        <v>5.7200000000000001E-2</v>
      </c>
      <c r="G10" t="s">
        <v>2</v>
      </c>
      <c r="H10" t="s">
        <v>3</v>
      </c>
      <c r="I10" t="s">
        <v>4</v>
      </c>
      <c r="J10" t="s">
        <v>5</v>
      </c>
      <c r="K10" s="2" t="s">
        <v>6</v>
      </c>
      <c r="L10">
        <f>0.0542-0.0021</f>
        <v>5.21E-2</v>
      </c>
      <c r="M10" s="6" t="s">
        <v>2</v>
      </c>
      <c r="N10" s="6" t="s">
        <v>3</v>
      </c>
      <c r="O10" s="6" t="s">
        <v>4</v>
      </c>
      <c r="P10" s="6" t="s">
        <v>5</v>
      </c>
      <c r="Q10" s="2" t="s">
        <v>6</v>
      </c>
    </row>
    <row r="11" spans="4:22">
      <c r="G11">
        <v>20</v>
      </c>
      <c r="H11">
        <v>100</v>
      </c>
      <c r="I11" s="8">
        <v>24.4280151681909</v>
      </c>
      <c r="J11" s="7">
        <v>24.769344912132308</v>
      </c>
      <c r="K11">
        <f>J11-I11</f>
        <v>0.34132974394140803</v>
      </c>
      <c r="M11" s="6">
        <v>20</v>
      </c>
      <c r="N11" s="6">
        <v>100</v>
      </c>
      <c r="O11" s="10">
        <v>25.451911267752131</v>
      </c>
      <c r="P11" s="9">
        <v>25.967677740316265</v>
      </c>
      <c r="Q11" s="6">
        <f>P11-O11</f>
        <v>0.51576647256413466</v>
      </c>
      <c r="S11" s="92">
        <f>(F10/20)*40</f>
        <v>0.1144</v>
      </c>
      <c r="T11" s="92">
        <f>(L10/20)*40</f>
        <v>0.1042</v>
      </c>
      <c r="U11" s="92">
        <v>0.34132974394140803</v>
      </c>
      <c r="V11">
        <v>0.51576647256413466</v>
      </c>
    </row>
    <row r="12" spans="4:22">
      <c r="D12" t="s">
        <v>7</v>
      </c>
      <c r="F12" s="1" t="s">
        <v>14</v>
      </c>
    </row>
    <row r="13" spans="4:22" ht="18">
      <c r="F13">
        <f>0.0739-0.0335</f>
        <v>4.0399999999999991E-2</v>
      </c>
      <c r="G13" t="s">
        <v>2</v>
      </c>
      <c r="H13" t="s">
        <v>3</v>
      </c>
      <c r="I13" t="s">
        <v>4</v>
      </c>
      <c r="J13" t="s">
        <v>5</v>
      </c>
      <c r="K13" s="2" t="s">
        <v>6</v>
      </c>
      <c r="L13">
        <f>0.0532-0.006</f>
        <v>4.7199999999999999E-2</v>
      </c>
      <c r="M13" s="6" t="s">
        <v>2</v>
      </c>
      <c r="N13" s="6" t="s">
        <v>3</v>
      </c>
      <c r="O13" s="6" t="s">
        <v>4</v>
      </c>
      <c r="P13" s="6" t="s">
        <v>5</v>
      </c>
      <c r="Q13" s="2" t="s">
        <v>6</v>
      </c>
    </row>
    <row r="14" spans="4:22">
      <c r="G14">
        <v>20</v>
      </c>
      <c r="H14">
        <v>100</v>
      </c>
      <c r="I14" s="16">
        <v>24.757517114729705</v>
      </c>
      <c r="J14" s="15">
        <v>25.441946115609781</v>
      </c>
      <c r="K14">
        <f>J14-I14</f>
        <v>0.68442900088007619</v>
      </c>
      <c r="M14" s="6">
        <v>20</v>
      </c>
      <c r="N14" s="6">
        <v>100</v>
      </c>
      <c r="O14" s="18">
        <v>25.091303145367107</v>
      </c>
      <c r="P14" s="17">
        <v>25.957340059121847</v>
      </c>
      <c r="Q14" s="6">
        <f>P14-O14</f>
        <v>0.86603691375474057</v>
      </c>
      <c r="S14" s="92">
        <f>(F13/20)*40</f>
        <v>8.0799999999999983E-2</v>
      </c>
      <c r="T14" s="92">
        <f>(L13/20)*40</f>
        <v>9.4400000000000012E-2</v>
      </c>
      <c r="U14">
        <v>0.68442900088007619</v>
      </c>
      <c r="V14">
        <v>0.86603691375474057</v>
      </c>
    </row>
  </sheetData>
  <mergeCells count="2">
    <mergeCell ref="U3:V3"/>
    <mergeCell ref="S3:T3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C29"/>
  <sheetViews>
    <sheetView workbookViewId="0">
      <selection activeCell="E17" sqref="E17"/>
    </sheetView>
  </sheetViews>
  <sheetFormatPr defaultRowHeight="15"/>
  <sheetData>
    <row r="1" spans="3:29">
      <c r="E1" s="200">
        <v>42104</v>
      </c>
    </row>
    <row r="2" spans="3:29">
      <c r="C2" t="s">
        <v>21</v>
      </c>
      <c r="E2" s="21" t="s">
        <v>19</v>
      </c>
      <c r="F2" s="21"/>
      <c r="G2" s="21"/>
      <c r="H2" s="21"/>
      <c r="I2" s="21">
        <v>22.890122109062791</v>
      </c>
      <c r="J2" s="21">
        <v>22.896268838421637</v>
      </c>
      <c r="K2" s="21">
        <f>J2-I2</f>
        <v>6.1467293588464145E-3</v>
      </c>
    </row>
    <row r="3" spans="3:29">
      <c r="D3" s="18" t="s">
        <v>0</v>
      </c>
      <c r="E3" s="18"/>
      <c r="F3" s="1" t="s">
        <v>15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3:29" ht="18">
      <c r="D4" s="18"/>
      <c r="E4" s="18"/>
      <c r="F4" s="18">
        <f>0.1827-0.0297</f>
        <v>0.153</v>
      </c>
      <c r="G4" s="18" t="s">
        <v>2</v>
      </c>
      <c r="H4" s="18" t="s">
        <v>3</v>
      </c>
      <c r="I4" s="18" t="s">
        <v>4</v>
      </c>
      <c r="J4" s="18" t="s">
        <v>5</v>
      </c>
      <c r="K4" s="2" t="s">
        <v>6</v>
      </c>
      <c r="L4" s="18">
        <f>0.1448-0.0083</f>
        <v>0.13650000000000001</v>
      </c>
      <c r="M4" s="18" t="s">
        <v>2</v>
      </c>
      <c r="N4" s="18" t="s">
        <v>3</v>
      </c>
      <c r="O4" s="18" t="s">
        <v>4</v>
      </c>
      <c r="P4" s="18" t="s">
        <v>5</v>
      </c>
      <c r="Q4" s="2" t="s">
        <v>6</v>
      </c>
      <c r="R4" s="37">
        <f>0.1354-0.0005</f>
        <v>0.13489999999999999</v>
      </c>
      <c r="S4" s="37" t="s">
        <v>2</v>
      </c>
      <c r="T4" s="37" t="s">
        <v>3</v>
      </c>
      <c r="U4" s="37" t="s">
        <v>4</v>
      </c>
      <c r="V4" s="37" t="s">
        <v>5</v>
      </c>
      <c r="W4" s="2" t="s">
        <v>6</v>
      </c>
    </row>
    <row r="5" spans="3:29">
      <c r="D5" s="18"/>
      <c r="E5" s="18"/>
      <c r="F5" s="18"/>
      <c r="G5" s="18">
        <v>20</v>
      </c>
      <c r="H5" s="18">
        <v>100</v>
      </c>
      <c r="I5" s="19">
        <v>22.91331204255296</v>
      </c>
      <c r="J5" s="20">
        <v>32.535830589284345</v>
      </c>
      <c r="K5" s="18">
        <f>J5-I5</f>
        <v>9.622518546731385</v>
      </c>
      <c r="L5" s="18"/>
      <c r="M5" s="18">
        <v>20</v>
      </c>
      <c r="N5" s="18">
        <v>100</v>
      </c>
      <c r="O5" s="23">
        <v>24.771021292866543</v>
      </c>
      <c r="P5" s="22">
        <v>33.788552659067662</v>
      </c>
      <c r="Q5" s="18">
        <f>P5-O5</f>
        <v>9.0175313662011192</v>
      </c>
      <c r="R5" s="37"/>
      <c r="S5" s="37">
        <v>20</v>
      </c>
      <c r="T5" s="37">
        <v>100</v>
      </c>
      <c r="U5" s="39">
        <v>25.110954052862763</v>
      </c>
      <c r="V5" s="38">
        <v>33.76238249316112</v>
      </c>
      <c r="W5" s="37">
        <f>V5-U5</f>
        <v>8.651428440298357</v>
      </c>
    </row>
    <row r="6" spans="3:29">
      <c r="D6" s="18" t="s">
        <v>7</v>
      </c>
      <c r="E6" s="18"/>
      <c r="F6" s="1" t="s">
        <v>16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3:29" ht="18">
      <c r="D7" s="18"/>
      <c r="E7" s="18"/>
      <c r="F7" s="18">
        <f>0.073-0.0035</f>
        <v>6.9499999999999992E-2</v>
      </c>
      <c r="G7" s="18" t="s">
        <v>2</v>
      </c>
      <c r="H7" s="18" t="s">
        <v>3</v>
      </c>
      <c r="I7" s="18" t="s">
        <v>4</v>
      </c>
      <c r="J7" s="18" t="s">
        <v>5</v>
      </c>
      <c r="K7" s="2" t="s">
        <v>6</v>
      </c>
      <c r="L7" s="18">
        <f>0.053-0.0003</f>
        <v>5.2699999999999997E-2</v>
      </c>
      <c r="M7" s="18" t="s">
        <v>2</v>
      </c>
      <c r="N7" s="18" t="s">
        <v>3</v>
      </c>
      <c r="O7" s="18" t="s">
        <v>4</v>
      </c>
      <c r="P7" s="18" t="s">
        <v>5</v>
      </c>
      <c r="Q7" s="2" t="s">
        <v>6</v>
      </c>
      <c r="R7">
        <f>0.0524</f>
        <v>5.2400000000000002E-2</v>
      </c>
      <c r="S7" s="39" t="s">
        <v>2</v>
      </c>
      <c r="T7" s="39" t="s">
        <v>3</v>
      </c>
      <c r="U7" s="39" t="s">
        <v>4</v>
      </c>
      <c r="V7" s="39" t="s">
        <v>5</v>
      </c>
      <c r="W7" s="2" t="s">
        <v>6</v>
      </c>
      <c r="X7" s="39">
        <f>0.056-0.0011</f>
        <v>5.4900000000000004E-2</v>
      </c>
      <c r="Y7" s="39" t="s">
        <v>2</v>
      </c>
      <c r="Z7" s="39" t="s">
        <v>3</v>
      </c>
      <c r="AA7" s="39" t="s">
        <v>4</v>
      </c>
      <c r="AB7" s="39" t="s">
        <v>5</v>
      </c>
      <c r="AC7" s="2" t="s">
        <v>6</v>
      </c>
    </row>
    <row r="8" spans="3:29">
      <c r="D8" s="18"/>
      <c r="E8" s="18"/>
      <c r="F8" s="18"/>
      <c r="G8" s="18">
        <v>20</v>
      </c>
      <c r="H8" s="18">
        <v>100</v>
      </c>
      <c r="I8" s="29">
        <v>24.93092938845928</v>
      </c>
      <c r="J8" s="28">
        <v>26.296620893276984</v>
      </c>
      <c r="K8" s="18">
        <f>J8-I8</f>
        <v>1.3656915048177041</v>
      </c>
      <c r="M8" s="18">
        <v>20</v>
      </c>
      <c r="N8" s="18">
        <v>100</v>
      </c>
      <c r="O8" s="31">
        <v>25.100243842616305</v>
      </c>
      <c r="P8" s="30">
        <v>27.832185645829778</v>
      </c>
      <c r="Q8" s="18">
        <f>P8-O8</f>
        <v>2.7319418032134735</v>
      </c>
      <c r="S8" s="39">
        <v>20</v>
      </c>
      <c r="T8" s="39">
        <v>100</v>
      </c>
      <c r="U8" s="33">
        <v>25.099778181301243</v>
      </c>
      <c r="V8" s="32">
        <v>30.379259906963114</v>
      </c>
      <c r="W8" s="33">
        <f>V8-U8</f>
        <v>5.2794817256618707</v>
      </c>
      <c r="X8" s="39"/>
      <c r="Y8" s="39">
        <v>20</v>
      </c>
      <c r="Z8" s="39">
        <v>100</v>
      </c>
      <c r="AA8" s="41">
        <v>25.114306814331229</v>
      </c>
      <c r="AB8" s="40">
        <v>27.494208663356833</v>
      </c>
      <c r="AC8" s="39">
        <f>AB8-AA8</f>
        <v>2.3799018490256039</v>
      </c>
    </row>
    <row r="9" spans="3:29">
      <c r="D9" s="18" t="s">
        <v>7</v>
      </c>
      <c r="E9" s="18"/>
      <c r="F9" s="1" t="s">
        <v>17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T9" s="21" t="s">
        <v>19</v>
      </c>
      <c r="U9" s="21">
        <v>24.024752469346069</v>
      </c>
      <c r="V9" s="21">
        <v>24.093949740764483</v>
      </c>
      <c r="W9" s="21">
        <f>V9-U9</f>
        <v>6.9197271418413919E-2</v>
      </c>
    </row>
    <row r="10" spans="3:29" ht="18">
      <c r="D10" s="18"/>
      <c r="E10" s="18"/>
      <c r="F10" s="18">
        <f>0.0545-0.0009</f>
        <v>5.3600000000000002E-2</v>
      </c>
      <c r="G10" s="18" t="s">
        <v>2</v>
      </c>
      <c r="H10" s="18" t="s">
        <v>3</v>
      </c>
      <c r="I10" s="18" t="s">
        <v>4</v>
      </c>
      <c r="J10" s="18" t="s">
        <v>5</v>
      </c>
      <c r="K10" s="2" t="s">
        <v>6</v>
      </c>
      <c r="L10" s="18">
        <f>0.0542-0.0021</f>
        <v>5.21E-2</v>
      </c>
      <c r="M10" s="18" t="s">
        <v>2</v>
      </c>
      <c r="N10" s="18" t="s">
        <v>3</v>
      </c>
      <c r="O10" s="18" t="s">
        <v>4</v>
      </c>
      <c r="P10" s="18" t="s">
        <v>5</v>
      </c>
      <c r="Q10" s="2" t="s">
        <v>6</v>
      </c>
      <c r="R10" s="39">
        <f>0.0485</f>
        <v>4.8500000000000001E-2</v>
      </c>
      <c r="S10" s="31" t="s">
        <v>2</v>
      </c>
      <c r="T10" s="31" t="s">
        <v>3</v>
      </c>
      <c r="U10" s="31" t="s">
        <v>4</v>
      </c>
      <c r="V10" s="31" t="s">
        <v>5</v>
      </c>
      <c r="W10" s="2" t="s">
        <v>6</v>
      </c>
    </row>
    <row r="11" spans="3:29">
      <c r="D11" s="18"/>
      <c r="E11" s="18"/>
      <c r="F11" s="18"/>
      <c r="G11" s="18">
        <v>20</v>
      </c>
      <c r="H11" s="18">
        <v>100</v>
      </c>
      <c r="I11" s="25">
        <v>25.106483704238148</v>
      </c>
      <c r="J11" s="24">
        <v>26.303978342054975</v>
      </c>
      <c r="K11" s="18">
        <f>J11-I11</f>
        <v>1.1974946378168276</v>
      </c>
      <c r="L11" s="18"/>
      <c r="M11" s="18">
        <v>20</v>
      </c>
      <c r="N11" s="18">
        <v>100</v>
      </c>
      <c r="O11" s="27">
        <v>24.758448437359831</v>
      </c>
      <c r="P11" s="26">
        <v>25.624578483377597</v>
      </c>
      <c r="Q11" s="18">
        <f>P11-O11</f>
        <v>0.86613004601776566</v>
      </c>
      <c r="S11" s="31">
        <v>20</v>
      </c>
      <c r="T11" s="31">
        <v>100</v>
      </c>
      <c r="U11" s="43">
        <v>25.450886812858982</v>
      </c>
      <c r="V11" s="42">
        <v>26.291498618811289</v>
      </c>
      <c r="W11" s="43">
        <f>V11-U11</f>
        <v>0.84061180595230667</v>
      </c>
    </row>
    <row r="12" spans="3:29">
      <c r="D12" s="18" t="s">
        <v>7</v>
      </c>
      <c r="E12" s="18"/>
      <c r="F12" s="1" t="s">
        <v>18</v>
      </c>
      <c r="G12" s="18"/>
      <c r="H12" s="18"/>
      <c r="L12" s="18"/>
      <c r="M12" s="18"/>
      <c r="N12" s="18"/>
    </row>
    <row r="13" spans="3:29" ht="18">
      <c r="D13" s="18"/>
      <c r="E13" s="18"/>
      <c r="F13" s="18">
        <f>0.0438-0.0009</f>
        <v>4.2900000000000001E-2</v>
      </c>
      <c r="G13" s="18" t="s">
        <v>2</v>
      </c>
      <c r="H13" s="18" t="s">
        <v>3</v>
      </c>
      <c r="I13" s="18" t="s">
        <v>4</v>
      </c>
      <c r="J13" s="18" t="s">
        <v>5</v>
      </c>
      <c r="K13" s="2" t="s">
        <v>6</v>
      </c>
      <c r="L13" s="18">
        <f>0.0516-0.006</f>
        <v>4.5600000000000002E-2</v>
      </c>
      <c r="M13" s="18" t="s">
        <v>2</v>
      </c>
      <c r="N13" s="18" t="s">
        <v>3</v>
      </c>
      <c r="O13" s="18" t="s">
        <v>4</v>
      </c>
      <c r="P13" s="18" t="s">
        <v>5</v>
      </c>
      <c r="Q13" s="2" t="s">
        <v>6</v>
      </c>
      <c r="R13">
        <f>0.0488-0.0065</f>
        <v>4.2300000000000004E-2</v>
      </c>
      <c r="S13" s="39" t="s">
        <v>2</v>
      </c>
      <c r="T13" s="39" t="s">
        <v>3</v>
      </c>
      <c r="U13" s="39" t="s">
        <v>4</v>
      </c>
      <c r="V13" s="39" t="s">
        <v>5</v>
      </c>
      <c r="W13" s="2" t="s">
        <v>6</v>
      </c>
    </row>
    <row r="14" spans="3:29">
      <c r="D14" s="18"/>
      <c r="E14" s="18"/>
      <c r="F14" s="18"/>
      <c r="G14" s="18">
        <v>20</v>
      </c>
      <c r="H14" s="18">
        <v>100</v>
      </c>
      <c r="I14" s="35">
        <v>25.454053309801427</v>
      </c>
      <c r="J14" s="34">
        <v>26.168470899371549</v>
      </c>
      <c r="K14" s="18">
        <f>J14-I14</f>
        <v>0.71441758957012169</v>
      </c>
      <c r="L14" s="18"/>
      <c r="M14" s="18">
        <v>20</v>
      </c>
      <c r="N14" s="18">
        <v>100</v>
      </c>
      <c r="O14" s="37">
        <v>25.069323931296108</v>
      </c>
      <c r="P14" s="36">
        <v>27.831533719988695</v>
      </c>
      <c r="Q14" s="18">
        <f>P14-O14</f>
        <v>2.7622097886925872</v>
      </c>
      <c r="S14" s="43">
        <v>20</v>
      </c>
      <c r="T14" s="43">
        <v>100</v>
      </c>
      <c r="U14" s="45">
        <v>25.440455999401568</v>
      </c>
      <c r="V14" s="44">
        <v>26.647170731256637</v>
      </c>
      <c r="W14" s="45">
        <f>V14-U14</f>
        <v>1.2067147318550688</v>
      </c>
    </row>
    <row r="16" spans="3:29">
      <c r="E16" s="200">
        <v>42107</v>
      </c>
    </row>
    <row r="17" spans="5:21">
      <c r="E17" t="s">
        <v>20</v>
      </c>
    </row>
    <row r="18" spans="5:21">
      <c r="E18" s="45"/>
      <c r="F18" s="1" t="s">
        <v>15</v>
      </c>
      <c r="G18" s="45"/>
      <c r="H18" s="45"/>
      <c r="I18" s="45"/>
      <c r="J18" s="45"/>
      <c r="K18" s="45"/>
    </row>
    <row r="19" spans="5:21" ht="18">
      <c r="E19" s="45"/>
      <c r="F19" s="45">
        <f>0.1671-0.0497</f>
        <v>0.1174</v>
      </c>
      <c r="G19" s="45" t="s">
        <v>2</v>
      </c>
      <c r="H19" s="45" t="s">
        <v>3</v>
      </c>
      <c r="I19" s="45" t="s">
        <v>4</v>
      </c>
      <c r="J19" s="45" t="s">
        <v>5</v>
      </c>
      <c r="K19" s="2" t="s">
        <v>6</v>
      </c>
    </row>
    <row r="20" spans="5:21">
      <c r="E20" s="45"/>
      <c r="F20" s="45"/>
      <c r="G20" s="45">
        <v>20</v>
      </c>
      <c r="H20" s="45">
        <v>100</v>
      </c>
      <c r="I20" s="46">
        <v>23.735949321743817</v>
      </c>
      <c r="J20" s="47">
        <v>31.241105868882286</v>
      </c>
      <c r="K20" s="45">
        <f>J20-I20</f>
        <v>7.5051565471384691</v>
      </c>
      <c r="R20">
        <f>(F19/20.15)*60</f>
        <v>0.34957816377171219</v>
      </c>
      <c r="S20" s="61">
        <v>7.5051565471384691</v>
      </c>
      <c r="T20" s="61"/>
    </row>
    <row r="21" spans="5:21">
      <c r="E21" s="45"/>
      <c r="F21" s="1" t="s">
        <v>16</v>
      </c>
      <c r="G21" s="45"/>
      <c r="H21" s="45"/>
      <c r="I21" s="45"/>
      <c r="J21" s="45"/>
      <c r="K21" s="45"/>
    </row>
    <row r="22" spans="5:21" ht="18">
      <c r="E22" s="45"/>
      <c r="F22" s="45">
        <f>0.0613-0.0069</f>
        <v>5.4400000000000004E-2</v>
      </c>
      <c r="G22" s="45" t="s">
        <v>2</v>
      </c>
      <c r="H22" s="45" t="s">
        <v>3</v>
      </c>
      <c r="I22" s="45" t="s">
        <v>4</v>
      </c>
      <c r="J22" s="45" t="s">
        <v>5</v>
      </c>
      <c r="K22" s="2" t="s">
        <v>6</v>
      </c>
      <c r="L22" s="49">
        <f>0.0675-0.0132</f>
        <v>5.4300000000000001E-2</v>
      </c>
      <c r="M22" s="49" t="s">
        <v>2</v>
      </c>
      <c r="N22" s="49" t="s">
        <v>3</v>
      </c>
      <c r="O22" s="49" t="s">
        <v>4</v>
      </c>
      <c r="P22" s="49" t="s">
        <v>5</v>
      </c>
      <c r="Q22" s="2" t="s">
        <v>6</v>
      </c>
    </row>
    <row r="23" spans="5:21">
      <c r="E23" s="45"/>
      <c r="F23" s="45"/>
      <c r="G23" s="45">
        <v>20</v>
      </c>
      <c r="H23" s="45">
        <v>100</v>
      </c>
      <c r="I23" s="49">
        <v>24.352391770624621</v>
      </c>
      <c r="J23" s="48">
        <v>25.558827105690675</v>
      </c>
      <c r="K23" s="45">
        <f>J23-I23</f>
        <v>1.2064353350660539</v>
      </c>
      <c r="L23" s="49"/>
      <c r="M23" s="49">
        <v>20</v>
      </c>
      <c r="N23" s="49">
        <v>100</v>
      </c>
      <c r="O23" s="51">
        <v>24.268200204861184</v>
      </c>
      <c r="P23" s="50">
        <v>25.457964864847956</v>
      </c>
      <c r="Q23" s="49">
        <f>P23-O23</f>
        <v>1.1897646599867713</v>
      </c>
      <c r="R23" s="92">
        <f>(F22/20)*60</f>
        <v>0.16320000000000001</v>
      </c>
      <c r="S23" s="61">
        <v>1.2064353350660539</v>
      </c>
      <c r="T23" s="92">
        <f>(L22/20)*60</f>
        <v>0.16289999999999999</v>
      </c>
      <c r="U23">
        <v>1.1897646599867713</v>
      </c>
    </row>
    <row r="24" spans="5:21">
      <c r="E24" s="45"/>
      <c r="F24" s="1" t="s">
        <v>17</v>
      </c>
      <c r="G24" s="45"/>
      <c r="H24" s="45"/>
      <c r="I24" s="45"/>
      <c r="J24" s="45"/>
      <c r="K24" s="45"/>
    </row>
    <row r="25" spans="5:21" ht="18">
      <c r="E25" s="45"/>
      <c r="F25" s="45">
        <f>0.0734-0.0203</f>
        <v>5.3100000000000008E-2</v>
      </c>
      <c r="G25" s="45" t="s">
        <v>2</v>
      </c>
      <c r="H25" s="45" t="s">
        <v>3</v>
      </c>
      <c r="I25" s="45" t="s">
        <v>4</v>
      </c>
      <c r="J25" s="45" t="s">
        <v>5</v>
      </c>
      <c r="K25" s="2" t="s">
        <v>6</v>
      </c>
      <c r="L25" s="53">
        <f>0.0571-0.0074</f>
        <v>4.9699999999999994E-2</v>
      </c>
      <c r="M25" s="53" t="s">
        <v>2</v>
      </c>
      <c r="N25" s="53" t="s">
        <v>3</v>
      </c>
      <c r="O25" s="53" t="s">
        <v>4</v>
      </c>
      <c r="P25" s="53" t="s">
        <v>5</v>
      </c>
      <c r="Q25" s="2" t="s">
        <v>6</v>
      </c>
    </row>
    <row r="26" spans="5:21">
      <c r="E26" s="45"/>
      <c r="F26" s="45"/>
      <c r="G26" s="45">
        <v>20</v>
      </c>
      <c r="H26" s="45">
        <v>100</v>
      </c>
      <c r="I26" s="53">
        <v>24.156068960193924</v>
      </c>
      <c r="J26" s="52">
        <v>25.112164772281933</v>
      </c>
      <c r="K26" s="45">
        <f>J26-I26</f>
        <v>0.95609581208800876</v>
      </c>
      <c r="L26" s="53"/>
      <c r="M26" s="53">
        <v>20</v>
      </c>
      <c r="N26" s="53">
        <v>100</v>
      </c>
      <c r="O26" s="55">
        <v>24.24826990057646</v>
      </c>
      <c r="P26" s="54">
        <v>25.103969133136811</v>
      </c>
      <c r="Q26" s="53">
        <f>P26-O26</f>
        <v>0.85569923256035096</v>
      </c>
      <c r="R26" s="92">
        <f>(F25/20)*60</f>
        <v>0.15930000000000002</v>
      </c>
      <c r="S26">
        <v>0.95609581208800876</v>
      </c>
      <c r="T26" s="92">
        <f>(L25/20)*60</f>
        <v>0.14909999999999998</v>
      </c>
      <c r="U26">
        <v>0.85569923256035096</v>
      </c>
    </row>
    <row r="27" spans="5:21">
      <c r="E27" s="45"/>
      <c r="F27" s="1" t="s">
        <v>18</v>
      </c>
      <c r="G27" s="45"/>
      <c r="H27" s="45"/>
      <c r="I27" s="45"/>
      <c r="J27" s="45"/>
      <c r="K27" s="45"/>
    </row>
    <row r="28" spans="5:21" ht="18">
      <c r="E28" s="45"/>
      <c r="F28" s="45">
        <f>0.0467-0.003</f>
        <v>4.3699999999999996E-2</v>
      </c>
      <c r="G28" s="45" t="s">
        <v>2</v>
      </c>
      <c r="H28" s="45" t="s">
        <v>3</v>
      </c>
      <c r="I28" s="45" t="s">
        <v>4</v>
      </c>
      <c r="J28" s="45" t="s">
        <v>5</v>
      </c>
      <c r="K28" s="2" t="s">
        <v>6</v>
      </c>
      <c r="L28" s="55">
        <f>0.0469-0.0016</f>
        <v>4.53E-2</v>
      </c>
      <c r="M28" s="55" t="s">
        <v>2</v>
      </c>
      <c r="N28" s="55" t="s">
        <v>3</v>
      </c>
      <c r="O28" s="55" t="s">
        <v>4</v>
      </c>
      <c r="P28" s="55" t="s">
        <v>5</v>
      </c>
      <c r="Q28" s="2" t="s">
        <v>6</v>
      </c>
    </row>
    <row r="29" spans="5:21">
      <c r="E29" s="45"/>
      <c r="F29" s="45"/>
      <c r="G29" s="45">
        <v>20</v>
      </c>
      <c r="H29" s="45">
        <v>100</v>
      </c>
      <c r="I29" s="57">
        <v>24.423451687303288</v>
      </c>
      <c r="J29" s="56">
        <v>25.705137890883552</v>
      </c>
      <c r="K29" s="45">
        <f>J29-I29</f>
        <v>1.2816862035802643</v>
      </c>
      <c r="L29" s="55"/>
      <c r="M29" s="55">
        <v>20</v>
      </c>
      <c r="N29" s="55">
        <v>100</v>
      </c>
      <c r="O29" s="59">
        <v>24.421216512990995</v>
      </c>
      <c r="P29" s="58">
        <v>25.615451521602353</v>
      </c>
      <c r="Q29" s="55">
        <f>P29-O29</f>
        <v>1.1942350086113578</v>
      </c>
      <c r="R29" s="92">
        <f>(F28/20)*60</f>
        <v>0.13109999999999999</v>
      </c>
      <c r="S29">
        <v>1.2816862035802643</v>
      </c>
      <c r="T29" s="92">
        <f>(L28/20)*60</f>
        <v>0.13589999999999999</v>
      </c>
      <c r="U29">
        <v>1.1942350086113578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62"/>
  <sheetViews>
    <sheetView topLeftCell="A37" workbookViewId="0">
      <selection activeCell="F66" sqref="F66"/>
    </sheetView>
  </sheetViews>
  <sheetFormatPr defaultRowHeight="15"/>
  <sheetData>
    <row r="1" spans="3:16">
      <c r="D1" s="200">
        <v>42109</v>
      </c>
    </row>
    <row r="2" spans="3:16">
      <c r="D2" t="s">
        <v>26</v>
      </c>
    </row>
    <row r="3" spans="3:16">
      <c r="C3" s="59" t="s">
        <v>0</v>
      </c>
      <c r="D3" s="59"/>
      <c r="E3" s="1" t="s">
        <v>22</v>
      </c>
      <c r="F3" s="59"/>
      <c r="G3" s="59"/>
      <c r="H3" s="63"/>
      <c r="I3" s="62"/>
      <c r="J3" s="59"/>
      <c r="K3" s="59"/>
      <c r="L3" s="59"/>
      <c r="M3" s="59"/>
      <c r="N3" s="59"/>
      <c r="O3" s="59"/>
      <c r="P3" s="59"/>
    </row>
    <row r="4" spans="3:16" ht="18">
      <c r="C4" s="59"/>
      <c r="D4" s="59"/>
      <c r="E4" s="59">
        <f>0.1228</f>
        <v>0.12280000000000001</v>
      </c>
      <c r="F4" s="59" t="s">
        <v>2</v>
      </c>
      <c r="G4" s="59" t="s">
        <v>3</v>
      </c>
      <c r="H4" s="59" t="s">
        <v>4</v>
      </c>
      <c r="I4" s="59" t="s">
        <v>5</v>
      </c>
      <c r="J4" s="2" t="s">
        <v>6</v>
      </c>
      <c r="K4" s="59">
        <f>0.1328-0.0022</f>
        <v>0.13059999999999999</v>
      </c>
      <c r="L4" s="59" t="s">
        <v>2</v>
      </c>
      <c r="M4" s="59" t="s">
        <v>3</v>
      </c>
      <c r="N4" s="59" t="s">
        <v>4</v>
      </c>
      <c r="O4" s="59" t="s">
        <v>5</v>
      </c>
      <c r="P4" s="2" t="s">
        <v>6</v>
      </c>
    </row>
    <row r="5" spans="3:16">
      <c r="C5" s="59"/>
      <c r="D5" s="59"/>
      <c r="E5" s="59"/>
      <c r="F5" s="59">
        <v>20</v>
      </c>
      <c r="G5" s="59">
        <v>100</v>
      </c>
      <c r="H5" s="60">
        <v>26.428868706754965</v>
      </c>
      <c r="I5" s="61">
        <v>35.076385592006773</v>
      </c>
      <c r="J5" s="59">
        <f>I5-H5</f>
        <v>8.6475168852518074</v>
      </c>
      <c r="K5" s="59"/>
      <c r="L5" s="59">
        <v>20</v>
      </c>
      <c r="M5" s="59">
        <v>100</v>
      </c>
      <c r="N5" s="65">
        <v>25.044550749334729</v>
      </c>
      <c r="O5" s="64">
        <v>32.944401827120892</v>
      </c>
      <c r="P5" s="59">
        <f>O5-N5</f>
        <v>7.8998510777861632</v>
      </c>
    </row>
    <row r="6" spans="3:16">
      <c r="C6" s="59" t="s">
        <v>7</v>
      </c>
      <c r="D6" s="59"/>
      <c r="E6" s="1" t="s">
        <v>23</v>
      </c>
      <c r="F6" s="59"/>
      <c r="G6" s="59"/>
      <c r="I6" s="59"/>
      <c r="J6" s="59"/>
      <c r="K6" s="59"/>
      <c r="L6" s="59"/>
      <c r="M6" s="59"/>
      <c r="N6" s="59"/>
      <c r="O6" s="59"/>
      <c r="P6" s="59"/>
    </row>
    <row r="7" spans="3:16" ht="18">
      <c r="C7" s="59"/>
      <c r="D7" s="59"/>
      <c r="E7" s="59">
        <f>0.073-0.0035</f>
        <v>6.9499999999999992E-2</v>
      </c>
      <c r="F7" s="59" t="s">
        <v>2</v>
      </c>
      <c r="G7" s="59" t="s">
        <v>3</v>
      </c>
      <c r="H7" s="59" t="s">
        <v>4</v>
      </c>
      <c r="I7" s="59" t="s">
        <v>5</v>
      </c>
      <c r="J7" s="2" t="s">
        <v>6</v>
      </c>
      <c r="K7" s="59">
        <f>0.053-0.0003</f>
        <v>5.2699999999999997E-2</v>
      </c>
      <c r="L7" s="59" t="s">
        <v>2</v>
      </c>
      <c r="M7" s="59" t="s">
        <v>3</v>
      </c>
      <c r="N7" s="59" t="s">
        <v>4</v>
      </c>
      <c r="O7" s="59" t="s">
        <v>5</v>
      </c>
      <c r="P7" s="2" t="s">
        <v>6</v>
      </c>
    </row>
    <row r="8" spans="3:16">
      <c r="C8" s="59"/>
      <c r="D8" s="59"/>
      <c r="E8" s="59"/>
      <c r="F8" s="59">
        <v>20</v>
      </c>
      <c r="G8" s="59">
        <v>100</v>
      </c>
      <c r="H8" s="67">
        <v>25.437103237933101</v>
      </c>
      <c r="I8" s="66">
        <v>26.307796764838503</v>
      </c>
      <c r="J8" s="59">
        <f>I8-H8</f>
        <v>0.87069352690540214</v>
      </c>
      <c r="K8" s="59"/>
      <c r="L8" s="59">
        <v>20</v>
      </c>
      <c r="M8" s="59">
        <v>100</v>
      </c>
      <c r="N8" s="69">
        <v>23.764820323277743</v>
      </c>
      <c r="O8" s="68">
        <v>24.775677906017176</v>
      </c>
      <c r="P8" s="59">
        <f>O8-N8</f>
        <v>1.0108575827394333</v>
      </c>
    </row>
    <row r="9" spans="3:16">
      <c r="C9" s="59" t="s">
        <v>7</v>
      </c>
      <c r="D9" s="59"/>
      <c r="E9" s="1" t="s">
        <v>24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3:16" ht="18">
      <c r="C10" s="59"/>
      <c r="D10" s="59"/>
      <c r="E10" s="59">
        <f>0.0603-0.0109</f>
        <v>4.9399999999999999E-2</v>
      </c>
      <c r="F10" s="59" t="s">
        <v>2</v>
      </c>
      <c r="G10" s="59" t="s">
        <v>3</v>
      </c>
      <c r="H10" s="59" t="s">
        <v>4</v>
      </c>
      <c r="I10" s="59" t="s">
        <v>5</v>
      </c>
      <c r="J10" s="2" t="s">
        <v>6</v>
      </c>
      <c r="K10" s="59">
        <f>0.053-0.001</f>
        <v>5.1999999999999998E-2</v>
      </c>
      <c r="L10" s="59" t="s">
        <v>2</v>
      </c>
      <c r="M10" s="59" t="s">
        <v>3</v>
      </c>
      <c r="N10" s="59" t="s">
        <v>4</v>
      </c>
      <c r="O10" s="59" t="s">
        <v>5</v>
      </c>
      <c r="P10" s="2" t="s">
        <v>6</v>
      </c>
    </row>
    <row r="11" spans="3:16">
      <c r="C11" s="59"/>
      <c r="D11" s="59"/>
      <c r="E11" s="59"/>
      <c r="F11" s="59">
        <v>20</v>
      </c>
      <c r="G11" s="59">
        <v>100</v>
      </c>
      <c r="H11" s="71">
        <v>25.458896187478082</v>
      </c>
      <c r="I11" s="70">
        <v>25.79305474716752</v>
      </c>
      <c r="J11" s="59">
        <f>I11-H11</f>
        <v>0.33415855968943831</v>
      </c>
      <c r="K11" s="59"/>
      <c r="L11" s="59">
        <v>20</v>
      </c>
      <c r="M11" s="59">
        <v>100</v>
      </c>
      <c r="N11" s="73">
        <v>25.455450293746619</v>
      </c>
      <c r="O11" s="72">
        <v>26.120973445235091</v>
      </c>
      <c r="P11" s="59">
        <f>O11-N11</f>
        <v>0.66552315148847185</v>
      </c>
    </row>
    <row r="12" spans="3:16">
      <c r="C12" s="59" t="s">
        <v>7</v>
      </c>
      <c r="D12" s="59"/>
      <c r="E12" s="1" t="s">
        <v>25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3:16" ht="18">
      <c r="C13" s="59"/>
      <c r="D13" s="59"/>
      <c r="E13" s="59">
        <f>0.0547-0.0032</f>
        <v>5.1499999999999997E-2</v>
      </c>
      <c r="F13" s="59" t="s">
        <v>2</v>
      </c>
      <c r="G13" s="59" t="s">
        <v>3</v>
      </c>
      <c r="H13" s="59" t="s">
        <v>4</v>
      </c>
      <c r="I13" s="59" t="s">
        <v>5</v>
      </c>
      <c r="J13" s="2" t="s">
        <v>6</v>
      </c>
      <c r="K13" s="59">
        <f>0.0493-0.0038</f>
        <v>4.5499999999999999E-2</v>
      </c>
      <c r="L13" s="59" t="s">
        <v>2</v>
      </c>
      <c r="M13" s="59" t="s">
        <v>3</v>
      </c>
      <c r="N13" s="59" t="s">
        <v>4</v>
      </c>
      <c r="O13" s="59" t="s">
        <v>5</v>
      </c>
      <c r="P13" s="2" t="s">
        <v>6</v>
      </c>
    </row>
    <row r="14" spans="3:16">
      <c r="C14" s="59"/>
      <c r="D14" s="59"/>
      <c r="E14" s="59"/>
      <c r="F14" s="59">
        <v>20</v>
      </c>
      <c r="G14" s="59">
        <v>100</v>
      </c>
      <c r="H14" s="75">
        <v>25.334378351830157</v>
      </c>
      <c r="I14" s="74">
        <v>25.619456208911902</v>
      </c>
      <c r="J14" s="59">
        <f>I14-H14</f>
        <v>0.28507785708174538</v>
      </c>
      <c r="K14" s="59"/>
      <c r="L14" s="59">
        <v>20</v>
      </c>
      <c r="M14" s="59">
        <v>100</v>
      </c>
      <c r="N14" s="92">
        <v>25.445485141604241</v>
      </c>
      <c r="O14" s="91">
        <v>25.623833425273492</v>
      </c>
      <c r="P14" s="59">
        <f>O14-N14</f>
        <v>0.17834828366925137</v>
      </c>
    </row>
    <row r="19" spans="4:17">
      <c r="N19" t="s">
        <v>28</v>
      </c>
    </row>
    <row r="20" spans="4:17">
      <c r="N20" t="s">
        <v>27</v>
      </c>
      <c r="O20" s="2" t="s">
        <v>6</v>
      </c>
    </row>
    <row r="21" spans="4:17">
      <c r="N21">
        <f>(E4/20)*80</f>
        <v>0.49120000000000003</v>
      </c>
      <c r="O21" s="63">
        <v>8.6475168852518074</v>
      </c>
    </row>
    <row r="22" spans="4:17">
      <c r="N22">
        <v>0.35220000000000001</v>
      </c>
      <c r="O22">
        <v>7.5051565471384691</v>
      </c>
    </row>
    <row r="23" spans="4:17">
      <c r="N23">
        <v>0.26100000000000001</v>
      </c>
      <c r="O23">
        <v>6.6314827878166938</v>
      </c>
    </row>
    <row r="24" spans="4:17">
      <c r="N24">
        <v>0.1273</v>
      </c>
      <c r="O24">
        <v>4.4333751161918009</v>
      </c>
    </row>
    <row r="30" spans="4:17">
      <c r="D30" s="200">
        <v>42110</v>
      </c>
    </row>
    <row r="31" spans="4:17">
      <c r="D31" t="s">
        <v>29</v>
      </c>
    </row>
    <row r="32" spans="4:17">
      <c r="D32" s="76" t="s">
        <v>0</v>
      </c>
      <c r="E32" s="76"/>
      <c r="F32" s="1" t="s">
        <v>22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</row>
    <row r="33" spans="4:22" ht="18">
      <c r="D33" s="76"/>
      <c r="E33" s="76"/>
      <c r="F33" s="76">
        <f>0.1287-0.0101</f>
        <v>0.11860000000000001</v>
      </c>
      <c r="G33" s="76" t="s">
        <v>2</v>
      </c>
      <c r="H33" s="76" t="s">
        <v>3</v>
      </c>
      <c r="I33" s="76" t="s">
        <v>4</v>
      </c>
      <c r="J33" s="76" t="s">
        <v>5</v>
      </c>
      <c r="K33" s="2" t="s">
        <v>6</v>
      </c>
      <c r="L33" s="76">
        <f>0.1317-0.0016</f>
        <v>0.13010000000000002</v>
      </c>
      <c r="M33" s="76" t="s">
        <v>2</v>
      </c>
      <c r="N33" s="76" t="s">
        <v>3</v>
      </c>
      <c r="O33" s="76" t="s">
        <v>4</v>
      </c>
      <c r="P33" s="76" t="s">
        <v>5</v>
      </c>
      <c r="Q33" s="2" t="s">
        <v>6</v>
      </c>
    </row>
    <row r="34" spans="4:22">
      <c r="D34" s="76"/>
      <c r="E34" s="76"/>
      <c r="F34" s="76"/>
      <c r="G34" s="76">
        <v>20</v>
      </c>
      <c r="H34" s="76">
        <v>100</v>
      </c>
      <c r="I34" s="77">
        <v>23.016781986760012</v>
      </c>
      <c r="J34" s="78">
        <v>29.834436168339035</v>
      </c>
      <c r="K34" s="76">
        <f>J34-I34</f>
        <v>6.817654181579023</v>
      </c>
      <c r="L34" s="76"/>
      <c r="M34" s="76">
        <v>20</v>
      </c>
      <c r="N34" s="76">
        <v>100</v>
      </c>
      <c r="O34" s="80">
        <v>24.422706629199183</v>
      </c>
      <c r="P34" s="79">
        <v>32.92428525831015</v>
      </c>
      <c r="Q34" s="76">
        <f>P34-O34</f>
        <v>8.5015786291109663</v>
      </c>
      <c r="S34" s="92">
        <f>(F33/20.2)*80</f>
        <v>0.46970297029702979</v>
      </c>
      <c r="T34">
        <v>6.817654181579023</v>
      </c>
      <c r="U34" s="92">
        <f>(L33/20)*80</f>
        <v>0.52040000000000008</v>
      </c>
      <c r="V34">
        <v>8.5015786291109663</v>
      </c>
    </row>
    <row r="35" spans="4:22">
      <c r="D35" s="76" t="s">
        <v>7</v>
      </c>
      <c r="E35" s="76"/>
      <c r="F35" s="1" t="s">
        <v>23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</row>
    <row r="36" spans="4:22" ht="18">
      <c r="D36" s="76"/>
      <c r="E36" s="76"/>
      <c r="F36" s="76">
        <f>0.0596-0.0031</f>
        <v>5.6500000000000002E-2</v>
      </c>
      <c r="G36" s="76" t="s">
        <v>2</v>
      </c>
      <c r="H36" s="76" t="s">
        <v>3</v>
      </c>
      <c r="I36" s="76" t="s">
        <v>4</v>
      </c>
      <c r="J36" s="76" t="s">
        <v>5</v>
      </c>
      <c r="K36" s="2" t="s">
        <v>6</v>
      </c>
      <c r="L36" s="76">
        <f>0.069-0.0116</f>
        <v>5.7400000000000007E-2</v>
      </c>
      <c r="M36" s="76" t="s">
        <v>2</v>
      </c>
      <c r="N36" s="76" t="s">
        <v>3</v>
      </c>
      <c r="O36" s="76" t="s">
        <v>4</v>
      </c>
      <c r="P36" s="76" t="s">
        <v>5</v>
      </c>
      <c r="Q36" s="2" t="s">
        <v>6</v>
      </c>
    </row>
    <row r="37" spans="4:22">
      <c r="D37" s="76"/>
      <c r="E37" s="76"/>
      <c r="F37" s="76"/>
      <c r="G37" s="76">
        <v>20</v>
      </c>
      <c r="H37" s="76">
        <v>100</v>
      </c>
      <c r="I37" s="82">
        <v>23.758021668077813</v>
      </c>
      <c r="J37" s="81">
        <v>24.430622871555258</v>
      </c>
      <c r="K37" s="76">
        <f>J37-I37</f>
        <v>0.6726012034774449</v>
      </c>
      <c r="L37" s="76"/>
      <c r="M37" s="76">
        <v>20</v>
      </c>
      <c r="N37" s="76">
        <v>100</v>
      </c>
      <c r="O37" s="84">
        <v>24.088361804983723</v>
      </c>
      <c r="P37" s="83">
        <v>24.764502034455656</v>
      </c>
      <c r="Q37" s="76">
        <f>P37-O37</f>
        <v>0.6761402294719332</v>
      </c>
      <c r="S37">
        <f>(F36/20)*80</f>
        <v>0.22600000000000003</v>
      </c>
      <c r="T37">
        <v>0.6726012034774449</v>
      </c>
      <c r="U37" s="92">
        <f>(L36/20)*80</f>
        <v>0.22960000000000003</v>
      </c>
      <c r="V37">
        <v>0.6761402294719332</v>
      </c>
    </row>
    <row r="38" spans="4:22">
      <c r="D38" s="76" t="s">
        <v>7</v>
      </c>
      <c r="E38" s="76"/>
      <c r="F38" s="1" t="s">
        <v>24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</row>
    <row r="39" spans="4:22" ht="18">
      <c r="D39" s="76"/>
      <c r="E39" s="76"/>
      <c r="F39" s="76">
        <f>0.0507-0.0032</f>
        <v>4.7500000000000001E-2</v>
      </c>
      <c r="G39" s="76" t="s">
        <v>2</v>
      </c>
      <c r="H39" s="76" t="s">
        <v>3</v>
      </c>
      <c r="I39" s="76" t="s">
        <v>4</v>
      </c>
      <c r="J39" s="76" t="s">
        <v>5</v>
      </c>
      <c r="K39" s="2" t="s">
        <v>6</v>
      </c>
      <c r="L39" s="76">
        <f>0.0511-0.0015</f>
        <v>4.9599999999999998E-2</v>
      </c>
      <c r="M39" s="76" t="s">
        <v>2</v>
      </c>
      <c r="N39" s="76" t="s">
        <v>3</v>
      </c>
      <c r="O39" s="76" t="s">
        <v>4</v>
      </c>
      <c r="P39" s="76" t="s">
        <v>5</v>
      </c>
      <c r="Q39" s="2" t="s">
        <v>6</v>
      </c>
    </row>
    <row r="40" spans="4:22">
      <c r="D40" s="76"/>
      <c r="E40" s="76"/>
      <c r="F40" s="76"/>
      <c r="G40" s="76">
        <v>20</v>
      </c>
      <c r="H40" s="76">
        <v>100</v>
      </c>
      <c r="I40" s="86">
        <v>24.434348162075764</v>
      </c>
      <c r="J40" s="85">
        <v>24.96017291904527</v>
      </c>
      <c r="K40" s="76">
        <f>J40-I40</f>
        <v>0.52582475696950581</v>
      </c>
      <c r="L40" s="76"/>
      <c r="M40" s="76">
        <v>20</v>
      </c>
      <c r="N40" s="76">
        <v>100</v>
      </c>
      <c r="O40" s="88">
        <v>24.091248905137125</v>
      </c>
      <c r="P40" s="87">
        <v>24.776702360910324</v>
      </c>
      <c r="Q40" s="76">
        <f>P40-O40</f>
        <v>0.68545345577319949</v>
      </c>
      <c r="S40" s="92">
        <f>(F39/20)*80</f>
        <v>0.19</v>
      </c>
      <c r="T40">
        <v>0.52582475696950581</v>
      </c>
      <c r="U40" s="92">
        <f>(L39/20)*80</f>
        <v>0.19839999999999999</v>
      </c>
      <c r="V40">
        <v>0.68545345577319949</v>
      </c>
    </row>
    <row r="41" spans="4:22">
      <c r="D41" s="76" t="s">
        <v>7</v>
      </c>
      <c r="E41" s="76"/>
      <c r="F41" s="1" t="s">
        <v>25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</row>
    <row r="42" spans="4:22" ht="18">
      <c r="D42" s="76"/>
      <c r="E42" s="76"/>
      <c r="F42" s="76">
        <f>0.0447-0.0032</f>
        <v>4.1499999999999995E-2</v>
      </c>
      <c r="G42" s="76" t="s">
        <v>2</v>
      </c>
      <c r="H42" s="76" t="s">
        <v>3</v>
      </c>
      <c r="I42" s="76" t="s">
        <v>4</v>
      </c>
      <c r="J42" s="76" t="s">
        <v>5</v>
      </c>
      <c r="K42" s="2" t="s">
        <v>6</v>
      </c>
      <c r="L42" s="76">
        <f>0.0532-0.0003</f>
        <v>5.2899999999999996E-2</v>
      </c>
      <c r="M42" s="76" t="s">
        <v>2</v>
      </c>
      <c r="N42" s="76" t="s">
        <v>3</v>
      </c>
      <c r="O42" s="76" t="s">
        <v>4</v>
      </c>
      <c r="P42" s="76" t="s">
        <v>5</v>
      </c>
      <c r="Q42" s="2" t="s">
        <v>6</v>
      </c>
    </row>
    <row r="43" spans="4:22">
      <c r="D43" s="76"/>
      <c r="E43" s="76"/>
      <c r="F43" s="76"/>
      <c r="G43" s="76">
        <v>20</v>
      </c>
      <c r="H43" s="76">
        <v>100</v>
      </c>
      <c r="I43" s="90">
        <v>24.773349599441858</v>
      </c>
      <c r="J43" s="89">
        <v>25.116262591854479</v>
      </c>
      <c r="K43" s="76">
        <f>J43-I43</f>
        <v>0.34291299241262152</v>
      </c>
      <c r="L43" s="76"/>
      <c r="M43" s="76">
        <v>20</v>
      </c>
      <c r="N43" s="76">
        <v>100</v>
      </c>
      <c r="O43" s="108">
        <v>25.445485141604241</v>
      </c>
      <c r="P43" s="109">
        <v>25.9238334252735</v>
      </c>
      <c r="Q43" s="76">
        <f>P43-O43</f>
        <v>0.47834828366925919</v>
      </c>
      <c r="S43" s="92">
        <f>(F42/20)*80</f>
        <v>0.16599999999999998</v>
      </c>
      <c r="T43">
        <v>0.34291299241262152</v>
      </c>
      <c r="U43" s="92">
        <f>(L42/20)*80</f>
        <v>0.21159999999999998</v>
      </c>
      <c r="V43">
        <v>0.47834828366925919</v>
      </c>
    </row>
    <row r="47" spans="4:22">
      <c r="E47" s="200">
        <v>42111</v>
      </c>
    </row>
    <row r="48" spans="4:22">
      <c r="D48" t="s">
        <v>40</v>
      </c>
    </row>
    <row r="50" spans="4:17">
      <c r="D50" s="109" t="s">
        <v>0</v>
      </c>
      <c r="E50" s="109"/>
      <c r="F50" s="1" t="s">
        <v>22</v>
      </c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</row>
    <row r="51" spans="4:17" ht="18">
      <c r="D51" s="109"/>
      <c r="E51" s="109"/>
      <c r="F51" s="109">
        <f>0.1107-0.0008</f>
        <v>0.10990000000000001</v>
      </c>
      <c r="G51" s="109" t="s">
        <v>2</v>
      </c>
      <c r="H51" s="109" t="s">
        <v>3</v>
      </c>
      <c r="I51" s="109" t="s">
        <v>4</v>
      </c>
      <c r="J51" s="109" t="s">
        <v>5</v>
      </c>
      <c r="K51" s="2" t="s">
        <v>6</v>
      </c>
      <c r="L51" s="109"/>
      <c r="M51" s="109"/>
      <c r="N51" s="109"/>
      <c r="O51" s="109"/>
      <c r="P51" s="109"/>
      <c r="Q51" s="2"/>
    </row>
    <row r="52" spans="4:17">
      <c r="D52" s="109"/>
      <c r="E52" s="109"/>
      <c r="F52" s="109"/>
      <c r="G52" s="109">
        <v>20</v>
      </c>
      <c r="H52" s="109">
        <v>100</v>
      </c>
      <c r="I52" s="111">
        <v>24.095905518287758</v>
      </c>
      <c r="J52" s="112">
        <v>31.817780841456717</v>
      </c>
      <c r="K52" s="109">
        <f>J52-I52</f>
        <v>7.721875323168959</v>
      </c>
      <c r="L52" s="109"/>
      <c r="M52" s="109"/>
      <c r="N52" s="109"/>
      <c r="O52" s="109"/>
      <c r="P52" s="109"/>
      <c r="Q52" s="109"/>
    </row>
    <row r="53" spans="4:17">
      <c r="D53" s="109" t="s">
        <v>7</v>
      </c>
      <c r="E53" s="109"/>
      <c r="F53" s="1" t="s">
        <v>23</v>
      </c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</row>
    <row r="54" spans="4:17" ht="18">
      <c r="D54" s="109"/>
      <c r="E54" s="109"/>
      <c r="F54" s="109">
        <f>0.0569-0.0012</f>
        <v>5.57E-2</v>
      </c>
      <c r="G54" s="109" t="s">
        <v>2</v>
      </c>
      <c r="H54" s="109" t="s">
        <v>3</v>
      </c>
      <c r="I54" s="109" t="s">
        <v>4</v>
      </c>
      <c r="J54" s="109" t="s">
        <v>5</v>
      </c>
      <c r="K54" s="2" t="s">
        <v>6</v>
      </c>
      <c r="L54" s="109"/>
      <c r="M54" s="109"/>
      <c r="N54" s="109"/>
      <c r="O54" s="109"/>
      <c r="P54" s="109"/>
      <c r="Q54" s="2"/>
    </row>
    <row r="55" spans="4:17">
      <c r="D55" s="109"/>
      <c r="E55" s="109"/>
      <c r="F55" s="109"/>
      <c r="G55" s="109">
        <v>20</v>
      </c>
      <c r="H55" s="109">
        <v>100</v>
      </c>
      <c r="I55" s="114">
        <v>24.626293756144875</v>
      </c>
      <c r="J55" s="113">
        <v>25.199243438198771</v>
      </c>
      <c r="K55" s="109">
        <f>J55-I55</f>
        <v>0.57294968205389551</v>
      </c>
      <c r="L55" s="109"/>
      <c r="M55" s="109"/>
      <c r="N55" s="109"/>
      <c r="O55" s="109"/>
      <c r="P55" s="109"/>
      <c r="Q55" s="109"/>
    </row>
    <row r="56" spans="4:17">
      <c r="D56" s="109" t="s">
        <v>7</v>
      </c>
      <c r="E56" s="109"/>
      <c r="F56" s="1" t="s">
        <v>24</v>
      </c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</row>
    <row r="57" spans="4:17" ht="18">
      <c r="D57" s="109"/>
      <c r="E57" s="109"/>
      <c r="F57" s="109">
        <f>0.0499-0.0009</f>
        <v>4.9000000000000002E-2</v>
      </c>
      <c r="G57" s="109" t="s">
        <v>2</v>
      </c>
      <c r="H57" s="109" t="s">
        <v>3</v>
      </c>
      <c r="I57" s="109" t="s">
        <v>4</v>
      </c>
      <c r="J57" s="109" t="s">
        <v>5</v>
      </c>
      <c r="K57" s="2" t="s">
        <v>6</v>
      </c>
      <c r="L57" s="109"/>
      <c r="M57" s="109"/>
      <c r="N57" s="109"/>
      <c r="O57" s="109"/>
      <c r="P57" s="109"/>
      <c r="Q57" s="2"/>
    </row>
    <row r="58" spans="4:17">
      <c r="D58" s="109"/>
      <c r="E58" s="109"/>
      <c r="F58" s="109"/>
      <c r="G58" s="109">
        <v>20</v>
      </c>
      <c r="H58" s="109">
        <v>100</v>
      </c>
      <c r="I58" s="116">
        <v>25.099312519986178</v>
      </c>
      <c r="J58" s="115">
        <v>25.620108134752986</v>
      </c>
      <c r="K58" s="109">
        <f>J58-I58</f>
        <v>0.5207956147668078</v>
      </c>
      <c r="L58" s="109"/>
      <c r="M58" s="109"/>
      <c r="N58" s="109"/>
      <c r="O58" s="109"/>
      <c r="P58" s="109"/>
      <c r="Q58" s="109"/>
    </row>
    <row r="59" spans="4:17">
      <c r="D59" s="109" t="s">
        <v>7</v>
      </c>
      <c r="E59" s="109"/>
      <c r="F59" s="1" t="s">
        <v>25</v>
      </c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</row>
    <row r="60" spans="4:17" ht="18">
      <c r="D60" s="109"/>
      <c r="E60" s="109"/>
      <c r="F60" s="109">
        <f>0.0545-0.0144</f>
        <v>4.0099999999999997E-2</v>
      </c>
      <c r="G60" s="109" t="s">
        <v>2</v>
      </c>
      <c r="H60" s="109" t="s">
        <v>3</v>
      </c>
      <c r="I60" s="109" t="s">
        <v>4</v>
      </c>
      <c r="J60" s="109" t="s">
        <v>5</v>
      </c>
      <c r="K60" s="2" t="s">
        <v>6</v>
      </c>
      <c r="L60" s="109"/>
      <c r="M60" s="109"/>
      <c r="N60" s="109"/>
      <c r="O60" s="109"/>
      <c r="P60" s="109"/>
      <c r="Q60" s="2"/>
    </row>
    <row r="61" spans="4:17">
      <c r="D61" s="109"/>
      <c r="E61" s="109"/>
      <c r="F61" s="109"/>
      <c r="G61" s="109">
        <v>20</v>
      </c>
      <c r="H61" s="109">
        <v>100</v>
      </c>
      <c r="I61" s="118">
        <v>24.691206943464696</v>
      </c>
      <c r="J61" s="117">
        <v>25.052746388479846</v>
      </c>
      <c r="K61" s="109">
        <f>J61-I61</f>
        <v>0.36153944501515056</v>
      </c>
      <c r="L61" s="109"/>
      <c r="M61" s="109"/>
      <c r="N61" s="109"/>
      <c r="O61" s="109"/>
      <c r="P61" s="109"/>
      <c r="Q61" s="109"/>
    </row>
    <row r="62" spans="4:17"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</row>
  </sheetData>
  <phoneticPr fontId="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U30"/>
  <sheetViews>
    <sheetView topLeftCell="A16" workbookViewId="0">
      <selection activeCell="E18" sqref="E18"/>
    </sheetView>
  </sheetViews>
  <sheetFormatPr defaultRowHeight="15"/>
  <sheetData>
    <row r="2" spans="5:21">
      <c r="E2" s="200">
        <v>42114</v>
      </c>
      <c r="M2">
        <f>1.5/50</f>
        <v>0.03</v>
      </c>
    </row>
    <row r="3" spans="5:21">
      <c r="F3" t="s">
        <v>45</v>
      </c>
      <c r="M3">
        <f>M2*5</f>
        <v>0.15</v>
      </c>
      <c r="P3">
        <f>60*5+100</f>
        <v>400</v>
      </c>
    </row>
    <row r="4" spans="5:21">
      <c r="E4" s="118" t="s">
        <v>0</v>
      </c>
      <c r="F4" s="118"/>
      <c r="G4" s="1" t="s">
        <v>41</v>
      </c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5:21" ht="18">
      <c r="E5" s="118"/>
      <c r="F5" s="118"/>
      <c r="G5" s="118">
        <f>0.1494-0.0336</f>
        <v>0.11580000000000001</v>
      </c>
      <c r="H5" s="118" t="s">
        <v>2</v>
      </c>
      <c r="I5" s="118" t="s">
        <v>3</v>
      </c>
      <c r="J5" s="118" t="s">
        <v>4</v>
      </c>
      <c r="K5" s="118" t="s">
        <v>5</v>
      </c>
      <c r="L5" s="2" t="s">
        <v>6</v>
      </c>
      <c r="M5" s="118">
        <f>0.1428-0.0158</f>
        <v>0.127</v>
      </c>
      <c r="N5" s="118" t="s">
        <v>2</v>
      </c>
      <c r="O5" s="118" t="s">
        <v>3</v>
      </c>
      <c r="P5" s="118" t="s">
        <v>4</v>
      </c>
      <c r="Q5" s="118" t="s">
        <v>5</v>
      </c>
      <c r="R5" s="2" t="s">
        <v>6</v>
      </c>
      <c r="T5">
        <f>(G5/20.25)*100</f>
        <v>0.57185185185185194</v>
      </c>
      <c r="U5">
        <v>7.3220585180555879</v>
      </c>
    </row>
    <row r="6" spans="5:21">
      <c r="E6" s="118"/>
      <c r="F6" s="118"/>
      <c r="G6" s="118"/>
      <c r="H6" s="118">
        <v>20</v>
      </c>
      <c r="I6" s="118">
        <v>100</v>
      </c>
      <c r="J6" s="119">
        <v>23.74377243183687</v>
      </c>
      <c r="K6" s="120">
        <v>31.065830949892458</v>
      </c>
      <c r="L6" s="118">
        <f>K6-J6</f>
        <v>7.3220585180555879</v>
      </c>
      <c r="M6" s="118"/>
      <c r="N6" s="118">
        <v>20</v>
      </c>
      <c r="O6" s="118">
        <v>100</v>
      </c>
      <c r="P6" s="122">
        <v>24.415442312684188</v>
      </c>
      <c r="Q6" s="121">
        <v>31.206553799304604</v>
      </c>
      <c r="R6" s="118">
        <f>Q6-P6</f>
        <v>6.7911114866204159</v>
      </c>
    </row>
    <row r="7" spans="5:21">
      <c r="E7" s="118" t="s">
        <v>7</v>
      </c>
      <c r="F7" s="118"/>
      <c r="G7" s="1" t="s">
        <v>42</v>
      </c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</row>
    <row r="8" spans="5:21" ht="18">
      <c r="E8" s="118"/>
      <c r="F8" s="118"/>
      <c r="G8" s="118">
        <f>0.057-0.0071</f>
        <v>4.99E-2</v>
      </c>
      <c r="H8" s="118" t="s">
        <v>2</v>
      </c>
      <c r="I8" s="118" t="s">
        <v>3</v>
      </c>
      <c r="J8" s="118" t="s">
        <v>4</v>
      </c>
      <c r="K8" s="118" t="s">
        <v>5</v>
      </c>
      <c r="L8" s="2" t="s">
        <v>6</v>
      </c>
      <c r="M8" s="118">
        <f>0.0482-0.0008</f>
        <v>4.7399999999999998E-2</v>
      </c>
      <c r="N8" s="118" t="s">
        <v>2</v>
      </c>
      <c r="O8" s="118" t="s">
        <v>3</v>
      </c>
      <c r="P8" s="118" t="s">
        <v>4</v>
      </c>
      <c r="Q8" s="118" t="s">
        <v>5</v>
      </c>
      <c r="R8" s="2" t="s">
        <v>6</v>
      </c>
    </row>
    <row r="9" spans="5:21">
      <c r="E9" s="118"/>
      <c r="F9" s="118"/>
      <c r="G9" s="118"/>
      <c r="H9" s="118">
        <v>20</v>
      </c>
      <c r="I9" s="118">
        <v>100</v>
      </c>
      <c r="J9" s="124">
        <v>25.468023149253327</v>
      </c>
      <c r="K9" s="123">
        <v>26.987103491252856</v>
      </c>
      <c r="L9" s="118">
        <f>K9-J9</f>
        <v>1.5190803419995298</v>
      </c>
      <c r="M9" s="118"/>
      <c r="N9" s="118">
        <v>20</v>
      </c>
      <c r="O9" s="118">
        <v>100</v>
      </c>
      <c r="P9" s="126">
        <v>24.572835837175589</v>
      </c>
      <c r="Q9" s="125">
        <v>26.297459083644089</v>
      </c>
      <c r="R9" s="118">
        <f>Q9-P9</f>
        <v>1.7246232464685001</v>
      </c>
    </row>
    <row r="10" spans="5:21">
      <c r="E10" s="118" t="s">
        <v>7</v>
      </c>
      <c r="F10" s="118"/>
      <c r="G10" s="1" t="s">
        <v>43</v>
      </c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</row>
    <row r="11" spans="5:21" ht="18">
      <c r="E11" s="118"/>
      <c r="F11" s="118"/>
      <c r="G11" s="118">
        <f>0.0568-0.0077</f>
        <v>4.9100000000000005E-2</v>
      </c>
      <c r="H11" s="118" t="s">
        <v>2</v>
      </c>
      <c r="I11" s="118" t="s">
        <v>3</v>
      </c>
      <c r="J11" s="118" t="s">
        <v>4</v>
      </c>
      <c r="K11" s="118" t="s">
        <v>5</v>
      </c>
      <c r="L11" s="2" t="s">
        <v>6</v>
      </c>
      <c r="M11" s="118">
        <f>0.0471-0.0013</f>
        <v>4.58E-2</v>
      </c>
      <c r="N11" s="118" t="s">
        <v>2</v>
      </c>
      <c r="O11" s="118" t="s">
        <v>3</v>
      </c>
      <c r="P11" s="118" t="s">
        <v>4</v>
      </c>
      <c r="Q11" s="118" t="s">
        <v>5</v>
      </c>
      <c r="R11" s="2" t="s">
        <v>6</v>
      </c>
    </row>
    <row r="12" spans="5:21">
      <c r="E12" s="118"/>
      <c r="F12" s="118"/>
      <c r="G12" s="118"/>
      <c r="H12" s="118">
        <v>20</v>
      </c>
      <c r="I12" s="118">
        <v>100</v>
      </c>
      <c r="J12" s="128">
        <v>25.102199620139583</v>
      </c>
      <c r="K12" s="127">
        <v>25.449489828913791</v>
      </c>
      <c r="L12" s="118">
        <f>K12-J12</f>
        <v>0.3472902087742078</v>
      </c>
      <c r="M12" s="118"/>
      <c r="N12" s="118">
        <v>20</v>
      </c>
      <c r="O12" s="118">
        <v>100</v>
      </c>
      <c r="P12" s="130">
        <v>24.753791824209198</v>
      </c>
      <c r="Q12" s="129">
        <v>25.449117299861751</v>
      </c>
      <c r="R12" s="118">
        <f>Q12-P12</f>
        <v>0.69532547565255243</v>
      </c>
    </row>
    <row r="13" spans="5:21">
      <c r="E13" s="118" t="s">
        <v>7</v>
      </c>
      <c r="F13" s="118"/>
      <c r="G13" s="1" t="s">
        <v>44</v>
      </c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5:21" ht="18">
      <c r="E14" s="118"/>
      <c r="F14" s="118"/>
      <c r="G14" s="118">
        <f>0.049-0.0111</f>
        <v>3.7900000000000003E-2</v>
      </c>
      <c r="H14" s="118" t="s">
        <v>2</v>
      </c>
      <c r="I14" s="118" t="s">
        <v>3</v>
      </c>
      <c r="J14" s="118" t="s">
        <v>4</v>
      </c>
      <c r="K14" s="118" t="s">
        <v>5</v>
      </c>
      <c r="L14" s="2" t="s">
        <v>6</v>
      </c>
      <c r="M14" s="118">
        <f>0.0457-0.0003</f>
        <v>4.5399999999999996E-2</v>
      </c>
      <c r="N14" s="118" t="s">
        <v>2</v>
      </c>
      <c r="O14" s="118" t="s">
        <v>3</v>
      </c>
      <c r="P14" s="118" t="s">
        <v>4</v>
      </c>
      <c r="Q14" s="118" t="s">
        <v>5</v>
      </c>
      <c r="R14" s="2" t="s">
        <v>6</v>
      </c>
    </row>
    <row r="15" spans="5:21">
      <c r="E15" s="118"/>
      <c r="F15" s="118"/>
      <c r="G15" s="118"/>
      <c r="H15" s="118">
        <v>20</v>
      </c>
      <c r="I15" s="118">
        <v>100</v>
      </c>
      <c r="J15" s="132">
        <v>24.764036373140591</v>
      </c>
      <c r="K15" s="131">
        <v>25.443715628607013</v>
      </c>
      <c r="L15" s="118">
        <f>K15-J15</f>
        <v>0.67967925546642149</v>
      </c>
      <c r="M15" s="118"/>
      <c r="N15" s="118">
        <v>20</v>
      </c>
      <c r="O15" s="118">
        <v>100</v>
      </c>
      <c r="P15" s="134">
        <v>25.462900874787632</v>
      </c>
      <c r="Q15" s="133">
        <v>25.969633517839515</v>
      </c>
      <c r="R15" s="118">
        <f>Q15-P15</f>
        <v>0.50673264305188326</v>
      </c>
    </row>
    <row r="17" spans="5:20">
      <c r="E17" s="200">
        <v>42115</v>
      </c>
    </row>
    <row r="18" spans="5:20">
      <c r="F18" t="s">
        <v>46</v>
      </c>
    </row>
    <row r="19" spans="5:20">
      <c r="F19" s="135"/>
      <c r="G19" s="1" t="s">
        <v>41</v>
      </c>
      <c r="H19" s="135"/>
      <c r="I19" s="135"/>
      <c r="J19" s="135"/>
      <c r="K19" s="135"/>
      <c r="L19" s="135"/>
    </row>
    <row r="20" spans="5:20" ht="18">
      <c r="F20" s="135"/>
      <c r="G20" s="135">
        <f>0.1394-0.006</f>
        <v>0.13339999999999999</v>
      </c>
      <c r="H20" s="135" t="s">
        <v>2</v>
      </c>
      <c r="I20" s="135" t="s">
        <v>3</v>
      </c>
      <c r="J20" s="135" t="s">
        <v>4</v>
      </c>
      <c r="K20" s="135" t="s">
        <v>5</v>
      </c>
      <c r="L20" s="2" t="s">
        <v>6</v>
      </c>
      <c r="M20" s="137">
        <f>0.1519-0.0086</f>
        <v>0.14330000000000001</v>
      </c>
      <c r="N20" s="137" t="s">
        <v>2</v>
      </c>
      <c r="O20" s="137" t="s">
        <v>3</v>
      </c>
      <c r="P20" s="137" t="s">
        <v>4</v>
      </c>
      <c r="Q20" s="137" t="s">
        <v>5</v>
      </c>
      <c r="R20" s="2" t="s">
        <v>6</v>
      </c>
    </row>
    <row r="21" spans="5:20">
      <c r="F21" s="135"/>
      <c r="G21" s="135"/>
      <c r="H21" s="135">
        <v>20</v>
      </c>
      <c r="I21" s="135">
        <v>100</v>
      </c>
      <c r="J21" s="137">
        <v>24.113041854682077</v>
      </c>
      <c r="K21" s="136">
        <v>33.114647603908047</v>
      </c>
      <c r="L21" s="135">
        <f>K21-J21</f>
        <v>9.0016057492259698</v>
      </c>
      <c r="M21" s="137"/>
      <c r="N21" s="137">
        <v>20</v>
      </c>
      <c r="O21" s="137">
        <v>100</v>
      </c>
      <c r="P21" s="139">
        <v>24.435372616968916</v>
      </c>
      <c r="Q21" s="138">
        <v>33.140165843973506</v>
      </c>
      <c r="R21" s="137">
        <f>Q21-P21</f>
        <v>8.7047932270045898</v>
      </c>
      <c r="S21">
        <f>(G20/20.25)*100</f>
        <v>0.65876543209876537</v>
      </c>
    </row>
    <row r="22" spans="5:20">
      <c r="F22" s="135"/>
      <c r="G22" s="1" t="s">
        <v>42</v>
      </c>
      <c r="H22" s="135"/>
      <c r="I22" s="135"/>
      <c r="J22" s="135"/>
      <c r="K22" s="135"/>
      <c r="L22" s="135"/>
      <c r="M22" s="137"/>
      <c r="N22" s="137"/>
      <c r="O22" s="137"/>
      <c r="P22" s="137"/>
      <c r="Q22" s="137"/>
      <c r="R22" s="137"/>
    </row>
    <row r="23" spans="5:20" ht="18">
      <c r="F23" s="135"/>
      <c r="G23" s="135">
        <f>0.0503-0.0037</f>
        <v>4.6599999999999996E-2</v>
      </c>
      <c r="H23" s="135" t="s">
        <v>2</v>
      </c>
      <c r="I23" s="135" t="s">
        <v>3</v>
      </c>
      <c r="J23" s="135" t="s">
        <v>4</v>
      </c>
      <c r="K23" s="135" t="s">
        <v>5</v>
      </c>
      <c r="L23" s="2" t="s">
        <v>6</v>
      </c>
      <c r="M23" s="137">
        <f>0.0622-0.0128</f>
        <v>4.9399999999999999E-2</v>
      </c>
      <c r="N23" s="137" t="s">
        <v>2</v>
      </c>
      <c r="O23" s="137" t="s">
        <v>3</v>
      </c>
      <c r="P23" s="137" t="s">
        <v>4</v>
      </c>
      <c r="Q23" s="137" t="s">
        <v>5</v>
      </c>
      <c r="R23" s="2" t="s">
        <v>6</v>
      </c>
    </row>
    <row r="24" spans="5:20">
      <c r="F24" s="135"/>
      <c r="G24" s="135"/>
      <c r="H24" s="135">
        <v>20</v>
      </c>
      <c r="I24" s="135">
        <v>100</v>
      </c>
      <c r="J24" s="141">
        <v>24.109689093213611</v>
      </c>
      <c r="K24" s="140">
        <v>25.127065934363959</v>
      </c>
      <c r="L24" s="135">
        <f>K24-J24</f>
        <v>1.0173768411503481</v>
      </c>
      <c r="M24" s="137"/>
      <c r="N24" s="137">
        <v>20</v>
      </c>
      <c r="O24" s="137">
        <v>100</v>
      </c>
      <c r="P24" s="143">
        <v>24.437887188070253</v>
      </c>
      <c r="Q24" s="142">
        <v>26.064907822901475</v>
      </c>
      <c r="R24" s="137">
        <f>Q24-P24</f>
        <v>1.6270206348312222</v>
      </c>
      <c r="S24">
        <f>(G23/20.4)*100</f>
        <v>0.22843137254901963</v>
      </c>
      <c r="T24" s="143">
        <f>(M23/20.4)*100</f>
        <v>0.24215686274509807</v>
      </c>
    </row>
    <row r="25" spans="5:20">
      <c r="F25" s="135"/>
      <c r="G25" s="1" t="s">
        <v>43</v>
      </c>
      <c r="H25" s="135"/>
      <c r="I25" s="135"/>
      <c r="J25" s="135"/>
      <c r="K25" s="135"/>
      <c r="L25" s="135"/>
      <c r="M25" s="137"/>
      <c r="N25" s="137"/>
      <c r="O25" s="137"/>
      <c r="P25" s="137"/>
      <c r="Q25" s="137"/>
      <c r="R25" s="137"/>
    </row>
    <row r="26" spans="5:20" ht="18">
      <c r="F26" s="135"/>
      <c r="G26" s="135">
        <f>0.0629-0.0154</f>
        <v>4.7500000000000001E-2</v>
      </c>
      <c r="H26" s="135" t="s">
        <v>2</v>
      </c>
      <c r="I26" s="135" t="s">
        <v>3</v>
      </c>
      <c r="J26" s="135" t="s">
        <v>4</v>
      </c>
      <c r="K26" s="135" t="s">
        <v>5</v>
      </c>
      <c r="L26" s="2" t="s">
        <v>6</v>
      </c>
      <c r="M26" s="137">
        <f>0.0602-0.0146</f>
        <v>4.5599999999999995E-2</v>
      </c>
      <c r="N26" s="137" t="s">
        <v>2</v>
      </c>
      <c r="O26" s="137" t="s">
        <v>3</v>
      </c>
      <c r="P26" s="137" t="s">
        <v>4</v>
      </c>
      <c r="Q26" s="137" t="s">
        <v>5</v>
      </c>
      <c r="R26" s="2" t="s">
        <v>6</v>
      </c>
    </row>
    <row r="27" spans="5:20">
      <c r="F27" s="135"/>
      <c r="G27" s="135"/>
      <c r="H27" s="135">
        <v>20</v>
      </c>
      <c r="I27" s="135">
        <v>100</v>
      </c>
      <c r="J27" s="145">
        <v>24.453533408256384</v>
      </c>
      <c r="K27" s="144">
        <v>24.792721110148499</v>
      </c>
      <c r="L27" s="135">
        <f>K27-J27</f>
        <v>0.339187701892115</v>
      </c>
      <c r="M27" s="137"/>
      <c r="N27" s="137">
        <v>20</v>
      </c>
      <c r="O27" s="137">
        <v>100</v>
      </c>
      <c r="P27" s="147">
        <v>24.443009462535947</v>
      </c>
      <c r="Q27" s="146">
        <v>24.783873545162294</v>
      </c>
      <c r="R27" s="137">
        <f>Q27-P27</f>
        <v>0.34086408262634649</v>
      </c>
      <c r="S27" s="147">
        <f>(G26/20.4)*100</f>
        <v>0.23284313725490199</v>
      </c>
    </row>
    <row r="28" spans="5:20">
      <c r="F28" s="135"/>
      <c r="G28" s="1" t="s">
        <v>44</v>
      </c>
      <c r="H28" s="135"/>
      <c r="I28" s="135"/>
      <c r="J28" s="135"/>
      <c r="K28" s="135"/>
      <c r="L28" s="135"/>
      <c r="M28" s="137"/>
      <c r="N28" s="137"/>
      <c r="O28" s="137"/>
      <c r="P28" s="137"/>
      <c r="Q28" s="137"/>
      <c r="R28" s="137"/>
    </row>
    <row r="29" spans="5:20" ht="18">
      <c r="F29" s="135"/>
      <c r="G29" s="135">
        <f>0.039-0.0029</f>
        <v>3.61E-2</v>
      </c>
      <c r="H29" s="135" t="s">
        <v>2</v>
      </c>
      <c r="I29" s="135" t="s">
        <v>3</v>
      </c>
      <c r="J29" s="135" t="s">
        <v>4</v>
      </c>
      <c r="K29" s="135" t="s">
        <v>5</v>
      </c>
      <c r="L29" s="2" t="s">
        <v>6</v>
      </c>
      <c r="M29" s="137">
        <f>0.0497-0.0165</f>
        <v>3.32E-2</v>
      </c>
      <c r="N29" s="137" t="s">
        <v>2</v>
      </c>
      <c r="O29" s="137" t="s">
        <v>3</v>
      </c>
      <c r="P29" s="137" t="s">
        <v>4</v>
      </c>
      <c r="Q29" s="137" t="s">
        <v>5</v>
      </c>
      <c r="R29" s="2" t="s">
        <v>6</v>
      </c>
    </row>
    <row r="30" spans="5:20">
      <c r="F30" s="135"/>
      <c r="G30" s="135"/>
      <c r="H30" s="135">
        <v>20</v>
      </c>
      <c r="I30" s="135">
        <v>100</v>
      </c>
      <c r="J30" s="149">
        <v>24.429784681188156</v>
      </c>
      <c r="K30" s="148">
        <v>24.754909411365347</v>
      </c>
      <c r="L30" s="135">
        <f>K30-J30</f>
        <v>0.32512473017719046</v>
      </c>
      <c r="M30" s="137"/>
      <c r="N30" s="137">
        <v>20</v>
      </c>
      <c r="O30" s="137">
        <v>100</v>
      </c>
      <c r="P30" s="151">
        <v>24.434627558864808</v>
      </c>
      <c r="Q30" s="150">
        <v>24.790299671310159</v>
      </c>
      <c r="R30" s="137">
        <f>Q30-P30</f>
        <v>0.35567211244535102</v>
      </c>
      <c r="S30" s="151">
        <f>(M29/20.4)*100</f>
        <v>0.16274509803921569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23"/>
  <sheetViews>
    <sheetView workbookViewId="0">
      <selection activeCell="C2" sqref="C2"/>
    </sheetView>
  </sheetViews>
  <sheetFormatPr defaultRowHeight="15"/>
  <sheetData>
    <row r="1" spans="3:20" ht="18">
      <c r="C1" s="200">
        <v>42120</v>
      </c>
      <c r="E1" t="s">
        <v>55</v>
      </c>
      <c r="F1" s="167" t="s">
        <v>2</v>
      </c>
      <c r="G1" s="167" t="s">
        <v>3</v>
      </c>
      <c r="H1" s="167" t="s">
        <v>4</v>
      </c>
      <c r="I1" s="167" t="s">
        <v>5</v>
      </c>
      <c r="J1" s="2" t="s">
        <v>6</v>
      </c>
    </row>
    <row r="2" spans="3:20">
      <c r="F2" s="167">
        <v>20</v>
      </c>
      <c r="G2" s="167">
        <v>100</v>
      </c>
      <c r="H2" s="169">
        <v>24.105963802693104</v>
      </c>
      <c r="I2" s="168">
        <v>24.110247886791697</v>
      </c>
      <c r="J2" s="167">
        <f>I2-H2</f>
        <v>4.284084098593155E-3</v>
      </c>
    </row>
    <row r="4" spans="3:20">
      <c r="E4" s="1" t="s">
        <v>47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</row>
    <row r="5" spans="3:20" ht="18">
      <c r="E5" s="151">
        <f>0.1241-0.024</f>
        <v>0.10009999999999999</v>
      </c>
      <c r="F5" s="151" t="s">
        <v>2</v>
      </c>
      <c r="G5" s="151" t="s">
        <v>3</v>
      </c>
      <c r="H5" s="151" t="s">
        <v>4</v>
      </c>
      <c r="I5" s="151" t="s">
        <v>5</v>
      </c>
      <c r="J5" s="2" t="s">
        <v>6</v>
      </c>
      <c r="K5" s="151">
        <f>0.1528-0.0315</f>
        <v>0.12129999999999999</v>
      </c>
      <c r="L5" s="151" t="s">
        <v>2</v>
      </c>
      <c r="M5" s="151" t="s">
        <v>3</v>
      </c>
      <c r="N5" s="151" t="s">
        <v>4</v>
      </c>
      <c r="O5" s="151" t="s">
        <v>5</v>
      </c>
      <c r="P5" s="2" t="s">
        <v>6</v>
      </c>
      <c r="Q5" s="151"/>
    </row>
    <row r="6" spans="3:20">
      <c r="E6" s="151"/>
      <c r="F6" s="151">
        <v>20</v>
      </c>
      <c r="G6" s="151">
        <v>100</v>
      </c>
      <c r="H6" s="152">
        <v>21.731836153974307</v>
      </c>
      <c r="I6" s="153">
        <v>31.239336355885055</v>
      </c>
      <c r="J6" s="151">
        <f>I6-H6</f>
        <v>9.507500201910748</v>
      </c>
      <c r="K6" s="151"/>
      <c r="L6" s="151">
        <v>20</v>
      </c>
      <c r="M6" s="151">
        <v>100</v>
      </c>
      <c r="N6" s="154">
        <v>26.638881959848522</v>
      </c>
      <c r="O6" s="155">
        <v>36.347454717603597</v>
      </c>
      <c r="P6" s="151">
        <f>O6-N6</f>
        <v>9.7085727577550749</v>
      </c>
      <c r="Q6" s="151"/>
    </row>
    <row r="7" spans="3:20">
      <c r="E7" s="1" t="s">
        <v>48</v>
      </c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</row>
    <row r="8" spans="3:20" ht="18">
      <c r="E8" s="151">
        <f>0.0771-0.0157</f>
        <v>6.1400000000000003E-2</v>
      </c>
      <c r="F8" s="151" t="s">
        <v>2</v>
      </c>
      <c r="G8" s="151" t="s">
        <v>3</v>
      </c>
      <c r="H8" s="151" t="s">
        <v>4</v>
      </c>
      <c r="I8" s="151" t="s">
        <v>5</v>
      </c>
      <c r="J8" s="2" t="s">
        <v>6</v>
      </c>
      <c r="K8" s="151">
        <f>0.0577-0.0061</f>
        <v>5.16E-2</v>
      </c>
      <c r="L8" s="151" t="s">
        <v>2</v>
      </c>
      <c r="M8" s="151" t="s">
        <v>3</v>
      </c>
      <c r="N8" s="151" t="s">
        <v>4</v>
      </c>
      <c r="O8" s="151" t="s">
        <v>5</v>
      </c>
      <c r="P8" s="2" t="s">
        <v>6</v>
      </c>
      <c r="Q8" s="151"/>
    </row>
    <row r="9" spans="3:20">
      <c r="E9" s="151"/>
      <c r="F9" s="151">
        <v>20</v>
      </c>
      <c r="G9" s="151">
        <v>100</v>
      </c>
      <c r="H9" s="157">
        <v>25.625509806007724</v>
      </c>
      <c r="I9" s="156">
        <v>25.969912914628559</v>
      </c>
      <c r="J9" s="151">
        <f>I9-H9</f>
        <v>0.34440310862083479</v>
      </c>
      <c r="K9" s="151"/>
      <c r="L9" s="151">
        <v>20</v>
      </c>
      <c r="M9" s="151">
        <v>100</v>
      </c>
      <c r="N9" s="159">
        <v>26.292709338230459</v>
      </c>
      <c r="O9" s="158">
        <v>26.631990172385596</v>
      </c>
      <c r="P9" s="151">
        <f>O9-N9</f>
        <v>0.33928083415513655</v>
      </c>
      <c r="Q9" s="151"/>
    </row>
    <row r="10" spans="3:20">
      <c r="E10" s="1" t="s">
        <v>49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T10">
        <f>1.5/25</f>
        <v>0.06</v>
      </c>
    </row>
    <row r="11" spans="3:20" ht="18">
      <c r="E11" s="151">
        <f>0.0547-0.0038</f>
        <v>5.0900000000000001E-2</v>
      </c>
      <c r="F11" s="151" t="s">
        <v>2</v>
      </c>
      <c r="G11" s="151" t="s">
        <v>3</v>
      </c>
      <c r="H11" s="151" t="s">
        <v>4</v>
      </c>
      <c r="I11" s="151" t="s">
        <v>5</v>
      </c>
      <c r="J11" s="2" t="s">
        <v>6</v>
      </c>
      <c r="K11" s="151">
        <f>0.0527-0.0015</f>
        <v>5.1199999999999996E-2</v>
      </c>
      <c r="L11" s="151" t="s">
        <v>2</v>
      </c>
      <c r="M11" s="151" t="s">
        <v>3</v>
      </c>
      <c r="N11" s="151" t="s">
        <v>4</v>
      </c>
      <c r="O11" s="151" t="s">
        <v>5</v>
      </c>
      <c r="P11" s="2" t="s">
        <v>6</v>
      </c>
      <c r="Q11" s="151"/>
      <c r="T11">
        <f>T10*7</f>
        <v>0.42</v>
      </c>
    </row>
    <row r="12" spans="3:20">
      <c r="E12" s="151"/>
      <c r="F12" s="151">
        <v>20</v>
      </c>
      <c r="G12" s="151">
        <v>100</v>
      </c>
      <c r="H12" s="161">
        <v>25.092141335734208</v>
      </c>
      <c r="I12" s="160">
        <v>25.358499607950424</v>
      </c>
      <c r="J12" s="161">
        <f>I12-H12</f>
        <v>0.26635827221621611</v>
      </c>
      <c r="K12" s="151"/>
      <c r="L12" s="151">
        <v>20</v>
      </c>
      <c r="M12" s="151">
        <v>100</v>
      </c>
      <c r="N12" s="163">
        <v>26.040414037729139</v>
      </c>
      <c r="O12" s="162">
        <v>26.304257738844019</v>
      </c>
      <c r="P12" s="163">
        <f>O12-N12</f>
        <v>0.26384370111487954</v>
      </c>
      <c r="Q12" s="151"/>
      <c r="T12">
        <f>T11+0.14</f>
        <v>0.56000000000000005</v>
      </c>
    </row>
    <row r="13" spans="3:20">
      <c r="E13" s="1" t="s">
        <v>50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</row>
    <row r="14" spans="3:20" ht="18">
      <c r="E14" s="151">
        <f>0.0513-0.0052</f>
        <v>4.6100000000000002E-2</v>
      </c>
      <c r="F14" s="151" t="s">
        <v>2</v>
      </c>
      <c r="G14" s="151" t="s">
        <v>3</v>
      </c>
      <c r="H14" s="151" t="s">
        <v>4</v>
      </c>
      <c r="I14" s="151" t="s">
        <v>5</v>
      </c>
      <c r="J14" s="2" t="s">
        <v>6</v>
      </c>
      <c r="K14" s="151">
        <f>0.0524-0.0078</f>
        <v>4.4600000000000001E-2</v>
      </c>
      <c r="L14" s="151" t="s">
        <v>2</v>
      </c>
      <c r="M14" s="151" t="s">
        <v>3</v>
      </c>
      <c r="N14" s="151" t="s">
        <v>4</v>
      </c>
      <c r="O14" s="151" t="s">
        <v>5</v>
      </c>
      <c r="P14" s="2" t="s">
        <v>6</v>
      </c>
      <c r="Q14" s="151"/>
    </row>
    <row r="15" spans="3:20">
      <c r="E15" s="151"/>
      <c r="F15" s="151">
        <v>20</v>
      </c>
      <c r="G15" s="151">
        <v>100</v>
      </c>
      <c r="H15" s="165">
        <v>25.445671406130288</v>
      </c>
      <c r="I15" s="164">
        <v>25.638548322829497</v>
      </c>
      <c r="J15" s="165">
        <f>I15-H15</f>
        <v>0.19287691669920903</v>
      </c>
      <c r="K15" s="151"/>
      <c r="L15" s="151">
        <v>20</v>
      </c>
      <c r="M15" s="151">
        <v>100</v>
      </c>
      <c r="N15" s="167">
        <v>27.330389012717543</v>
      </c>
      <c r="O15" s="166">
        <v>27.334579964553114</v>
      </c>
      <c r="P15" s="167">
        <f>O15-N15</f>
        <v>4.1909518355716102E-3</v>
      </c>
      <c r="Q15" s="151"/>
    </row>
    <row r="17" spans="5:20">
      <c r="F17">
        <v>20</v>
      </c>
      <c r="O17">
        <v>1</v>
      </c>
    </row>
    <row r="18" spans="5:20" ht="18">
      <c r="E18" t="s">
        <v>51</v>
      </c>
      <c r="G18" s="163">
        <f>0.1386-0.0006</f>
        <v>0.13800000000000001</v>
      </c>
      <c r="H18" s="163" t="s">
        <v>2</v>
      </c>
      <c r="I18" s="163" t="s">
        <v>3</v>
      </c>
      <c r="J18" s="163" t="s">
        <v>4</v>
      </c>
      <c r="K18" s="163" t="s">
        <v>5</v>
      </c>
      <c r="L18" s="2" t="s">
        <v>6</v>
      </c>
      <c r="O18" s="165" t="s">
        <v>53</v>
      </c>
      <c r="P18" s="165"/>
      <c r="Q18" s="165"/>
      <c r="R18" s="165"/>
      <c r="S18" s="165"/>
      <c r="T18" s="165"/>
    </row>
    <row r="19" spans="5:20" ht="18">
      <c r="G19" s="163"/>
      <c r="H19" s="163">
        <v>20</v>
      </c>
      <c r="I19" s="163">
        <v>100</v>
      </c>
      <c r="J19" s="171">
        <v>23.875740848525808</v>
      </c>
      <c r="K19" s="170">
        <v>24.099351412019221</v>
      </c>
      <c r="L19" s="163">
        <f>K19-J19</f>
        <v>0.22361056349341268</v>
      </c>
      <c r="O19" s="165">
        <f>0.1431-0.0194</f>
        <v>0.1237</v>
      </c>
      <c r="P19" s="165" t="s">
        <v>2</v>
      </c>
      <c r="Q19" s="165" t="s">
        <v>3</v>
      </c>
      <c r="R19" s="165" t="s">
        <v>4</v>
      </c>
      <c r="S19" s="165" t="s">
        <v>5</v>
      </c>
      <c r="T19" s="2" t="s">
        <v>6</v>
      </c>
    </row>
    <row r="20" spans="5:20" ht="18">
      <c r="E20" t="s">
        <v>52</v>
      </c>
      <c r="G20">
        <f>0.0637-0.0039</f>
        <v>5.9800000000000006E-2</v>
      </c>
      <c r="H20" s="171" t="s">
        <v>2</v>
      </c>
      <c r="I20" s="171" t="s">
        <v>3</v>
      </c>
      <c r="J20" s="171" t="s">
        <v>4</v>
      </c>
      <c r="K20" s="171" t="s">
        <v>5</v>
      </c>
      <c r="L20" s="2" t="s">
        <v>6</v>
      </c>
      <c r="O20" s="165"/>
      <c r="P20" s="165">
        <v>20</v>
      </c>
      <c r="Q20" s="165">
        <v>100</v>
      </c>
      <c r="R20" s="165">
        <v>24.418795074152655</v>
      </c>
      <c r="S20" s="165">
        <v>24.426618184245708</v>
      </c>
      <c r="T20" s="165">
        <f>S20-R20</f>
        <v>7.8231100930530317E-3</v>
      </c>
    </row>
    <row r="21" spans="5:20">
      <c r="H21" s="171">
        <v>20</v>
      </c>
      <c r="I21" s="171">
        <v>100</v>
      </c>
      <c r="J21" s="173">
        <v>24.947786328064581</v>
      </c>
      <c r="K21" s="172">
        <v>25.083666299800047</v>
      </c>
      <c r="L21" s="171">
        <f>K21-J21</f>
        <v>0.1358799717354664</v>
      </c>
      <c r="O21" s="165" t="s">
        <v>54</v>
      </c>
      <c r="P21" s="165"/>
      <c r="Q21" s="165"/>
      <c r="R21" s="165"/>
      <c r="S21" s="165"/>
      <c r="T21" s="165"/>
    </row>
    <row r="22" spans="5:20" ht="18">
      <c r="O22" s="165">
        <f>0.0745-0.0071</f>
        <v>6.7400000000000002E-2</v>
      </c>
      <c r="P22" s="165" t="s">
        <v>2</v>
      </c>
      <c r="Q22" s="165" t="s">
        <v>3</v>
      </c>
      <c r="R22" s="165" t="s">
        <v>4</v>
      </c>
      <c r="S22" s="165" t="s">
        <v>5</v>
      </c>
      <c r="T22" s="2" t="s">
        <v>6</v>
      </c>
    </row>
    <row r="23" spans="5:20">
      <c r="O23" s="165"/>
      <c r="P23" s="165">
        <v>20</v>
      </c>
      <c r="Q23" s="165">
        <v>100</v>
      </c>
      <c r="R23" s="165">
        <v>24.42764263913886</v>
      </c>
      <c r="S23" s="165">
        <v>24.428387697242965</v>
      </c>
      <c r="T23" s="165">
        <f>S23-R23</f>
        <v>7.4505810410485651E-4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Q20"/>
  <sheetViews>
    <sheetView workbookViewId="0">
      <selection activeCell="I31" sqref="I31"/>
    </sheetView>
  </sheetViews>
  <sheetFormatPr defaultRowHeight="15"/>
  <sheetData>
    <row r="2" spans="4:17">
      <c r="E2" s="200">
        <v>42125</v>
      </c>
    </row>
    <row r="3" spans="4:17">
      <c r="E3" s="173"/>
      <c r="F3" s="1" t="s">
        <v>56</v>
      </c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4:17" ht="18">
      <c r="E4" s="173"/>
      <c r="F4" s="173">
        <f>0.1405-0.0066</f>
        <v>0.13390000000000002</v>
      </c>
      <c r="G4" s="173" t="s">
        <v>2</v>
      </c>
      <c r="H4" s="173" t="s">
        <v>3</v>
      </c>
      <c r="I4" s="173" t="s">
        <v>4</v>
      </c>
      <c r="J4" s="173" t="s">
        <v>5</v>
      </c>
      <c r="K4" s="2" t="s">
        <v>6</v>
      </c>
      <c r="L4" s="173">
        <f>0.1529-0.0196</f>
        <v>0.1333</v>
      </c>
      <c r="M4" s="173" t="s">
        <v>2</v>
      </c>
      <c r="N4" s="173" t="s">
        <v>3</v>
      </c>
      <c r="O4" s="173" t="s">
        <v>4</v>
      </c>
      <c r="P4" s="173" t="s">
        <v>5</v>
      </c>
      <c r="Q4" s="2" t="s">
        <v>6</v>
      </c>
    </row>
    <row r="5" spans="4:17">
      <c r="E5" s="173"/>
      <c r="F5" s="173"/>
      <c r="G5" s="173">
        <v>20</v>
      </c>
      <c r="H5" s="173">
        <v>100</v>
      </c>
      <c r="I5" s="174">
        <v>26.285445021715464</v>
      </c>
      <c r="J5" s="175">
        <v>36.785362618289163</v>
      </c>
      <c r="K5" s="173">
        <f>J5-I5</f>
        <v>10.499917596573699</v>
      </c>
      <c r="L5" s="173"/>
      <c r="M5" s="173">
        <v>20</v>
      </c>
      <c r="N5" s="173">
        <v>100</v>
      </c>
      <c r="O5" s="177">
        <v>26.305002796948123</v>
      </c>
      <c r="P5" s="176">
        <v>37.202408892059843</v>
      </c>
      <c r="Q5" s="173">
        <f>P5-O5</f>
        <v>10.89740609511172</v>
      </c>
    </row>
    <row r="6" spans="4:17">
      <c r="E6" s="173"/>
      <c r="F6" s="1" t="s">
        <v>57</v>
      </c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</row>
    <row r="7" spans="4:17" ht="18">
      <c r="E7" s="173"/>
      <c r="F7" s="173">
        <f>0.0628-0.0006</f>
        <v>6.2199999999999991E-2</v>
      </c>
      <c r="G7" s="173" t="s">
        <v>2</v>
      </c>
      <c r="H7" s="173" t="s">
        <v>3</v>
      </c>
      <c r="I7" s="173" t="s">
        <v>4</v>
      </c>
      <c r="J7" s="173" t="s">
        <v>5</v>
      </c>
      <c r="K7" s="2" t="s">
        <v>6</v>
      </c>
      <c r="L7" s="173">
        <f>0.0581-0.0001</f>
        <v>5.7999999999999996E-2</v>
      </c>
      <c r="M7" s="173" t="s">
        <v>2</v>
      </c>
      <c r="N7" s="173" t="s">
        <v>3</v>
      </c>
      <c r="O7" s="173" t="s">
        <v>4</v>
      </c>
      <c r="P7" s="173" t="s">
        <v>5</v>
      </c>
      <c r="Q7" s="2" t="s">
        <v>6</v>
      </c>
    </row>
    <row r="8" spans="4:17">
      <c r="D8" s="179"/>
      <c r="E8" s="173"/>
      <c r="F8" s="173"/>
      <c r="G8" s="173">
        <v>20</v>
      </c>
      <c r="H8" s="173">
        <v>100</v>
      </c>
      <c r="I8" s="179">
        <v>25.624112822062536</v>
      </c>
      <c r="J8" s="178">
        <v>26.304164606581022</v>
      </c>
      <c r="K8" s="173">
        <f>J8-I8</f>
        <v>0.68005178451848636</v>
      </c>
      <c r="L8" s="173"/>
      <c r="M8" s="173">
        <v>20</v>
      </c>
      <c r="N8" s="173">
        <v>100</v>
      </c>
      <c r="O8" s="181">
        <v>26.638602563059479</v>
      </c>
      <c r="P8" s="180">
        <v>26.986730962200816</v>
      </c>
      <c r="Q8" s="173">
        <f>P8-O8</f>
        <v>0.34812839914133775</v>
      </c>
    </row>
    <row r="9" spans="4:17">
      <c r="E9" s="173"/>
      <c r="F9" s="1" t="s">
        <v>58</v>
      </c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4:17" ht="18">
      <c r="E10" s="173"/>
      <c r="F10" s="173">
        <f>0.0516-0.0015</f>
        <v>5.0099999999999999E-2</v>
      </c>
      <c r="G10" s="173" t="s">
        <v>2</v>
      </c>
      <c r="H10" s="173" t="s">
        <v>3</v>
      </c>
      <c r="I10" s="173" t="s">
        <v>4</v>
      </c>
      <c r="J10" s="173" t="s">
        <v>5</v>
      </c>
      <c r="K10" s="2" t="s">
        <v>6</v>
      </c>
      <c r="L10" s="173">
        <f>0.0519-0</f>
        <v>5.1900000000000002E-2</v>
      </c>
      <c r="M10" s="173" t="s">
        <v>2</v>
      </c>
      <c r="N10" s="173" t="s">
        <v>3</v>
      </c>
      <c r="O10" s="173" t="s">
        <v>4</v>
      </c>
      <c r="P10" s="173" t="s">
        <v>5</v>
      </c>
      <c r="Q10" s="2" t="s">
        <v>6</v>
      </c>
    </row>
    <row r="11" spans="4:17">
      <c r="E11" s="173"/>
      <c r="F11" s="173"/>
      <c r="G11" s="173">
        <v>20</v>
      </c>
      <c r="H11" s="173">
        <v>100</v>
      </c>
      <c r="I11" s="183">
        <v>25.624951012429666</v>
      </c>
      <c r="J11" s="182">
        <v>25.960227159275252</v>
      </c>
      <c r="K11" s="173">
        <f>J11-I11</f>
        <v>0.33527614684558671</v>
      </c>
      <c r="L11" s="173"/>
      <c r="M11" s="173">
        <v>20</v>
      </c>
      <c r="N11" s="173">
        <v>100</v>
      </c>
      <c r="O11" s="185">
        <v>26.297459083644089</v>
      </c>
      <c r="P11" s="184">
        <v>26.304257738844019</v>
      </c>
      <c r="Q11" s="173">
        <f>P11-O11</f>
        <v>6.7986551999297262E-3</v>
      </c>
    </row>
    <row r="12" spans="4:17">
      <c r="E12" s="173"/>
      <c r="F12" s="1" t="s">
        <v>59</v>
      </c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</row>
    <row r="13" spans="4:17" ht="18">
      <c r="E13" s="173"/>
      <c r="F13" s="173">
        <f>0.0436-0.001</f>
        <v>4.2599999999999999E-2</v>
      </c>
      <c r="G13" s="173" t="s">
        <v>2</v>
      </c>
      <c r="H13" s="173" t="s">
        <v>3</v>
      </c>
      <c r="I13" s="173" t="s">
        <v>4</v>
      </c>
      <c r="J13" s="173" t="s">
        <v>5</v>
      </c>
      <c r="K13" s="2" t="s">
        <v>6</v>
      </c>
      <c r="L13" s="173">
        <f>0.0524-0.0078</f>
        <v>4.4600000000000001E-2</v>
      </c>
      <c r="M13" s="173" t="s">
        <v>2</v>
      </c>
      <c r="N13" s="173" t="s">
        <v>3</v>
      </c>
      <c r="O13" s="173" t="s">
        <v>4</v>
      </c>
      <c r="P13" s="173" t="s">
        <v>5</v>
      </c>
      <c r="Q13" s="2" t="s">
        <v>6</v>
      </c>
    </row>
    <row r="14" spans="4:17">
      <c r="E14" s="173"/>
      <c r="F14" s="173"/>
      <c r="G14" s="173">
        <v>20</v>
      </c>
      <c r="H14" s="173">
        <v>100</v>
      </c>
      <c r="I14" s="187">
        <v>25.621598250961199</v>
      </c>
      <c r="J14" s="186">
        <v>25.971030501784703</v>
      </c>
      <c r="K14" s="173">
        <f>J14-I14</f>
        <v>0.34943225082350438</v>
      </c>
      <c r="L14" s="173"/>
      <c r="M14" s="173">
        <v>20</v>
      </c>
      <c r="N14" s="173">
        <v>100</v>
      </c>
      <c r="O14" s="173"/>
      <c r="P14" s="173"/>
      <c r="Q14" s="173">
        <f>P14-O14</f>
        <v>0</v>
      </c>
    </row>
    <row r="16" spans="4:17">
      <c r="F16">
        <v>40</v>
      </c>
    </row>
    <row r="17" spans="7:14" ht="18">
      <c r="G17" s="187" t="s">
        <v>51</v>
      </c>
      <c r="H17" s="187"/>
      <c r="I17" s="187">
        <f>0.1279-0.0002</f>
        <v>0.12770000000000001</v>
      </c>
      <c r="J17" s="187" t="s">
        <v>2</v>
      </c>
      <c r="K17" s="187" t="s">
        <v>3</v>
      </c>
      <c r="L17" s="187" t="s">
        <v>4</v>
      </c>
      <c r="M17" s="187" t="s">
        <v>5</v>
      </c>
      <c r="N17" s="2" t="s">
        <v>6</v>
      </c>
    </row>
    <row r="18" spans="7:14">
      <c r="G18" s="187"/>
      <c r="H18" s="187"/>
      <c r="I18" s="187"/>
      <c r="J18" s="187">
        <v>20</v>
      </c>
      <c r="K18" s="187">
        <v>100</v>
      </c>
      <c r="L18" s="189">
        <v>25.968981591998432</v>
      </c>
      <c r="M18" s="188">
        <v>25.971403030836772</v>
      </c>
      <c r="N18" s="187">
        <f>M18-L18</f>
        <v>2.4214388383398955E-3</v>
      </c>
    </row>
    <row r="19" spans="7:14" ht="18">
      <c r="G19" s="187" t="s">
        <v>52</v>
      </c>
      <c r="H19" s="187"/>
      <c r="I19" s="187">
        <f>0.0516-0.0009</f>
        <v>5.0700000000000002E-2</v>
      </c>
      <c r="J19" s="187" t="s">
        <v>2</v>
      </c>
      <c r="K19" s="187" t="s">
        <v>3</v>
      </c>
      <c r="L19" s="187" t="s">
        <v>4</v>
      </c>
      <c r="M19" s="187" t="s">
        <v>5</v>
      </c>
      <c r="N19" s="2" t="s">
        <v>6</v>
      </c>
    </row>
    <row r="20" spans="7:14">
      <c r="G20" s="187"/>
      <c r="H20" s="187"/>
      <c r="I20" s="187"/>
      <c r="J20" s="187">
        <v>20</v>
      </c>
      <c r="K20" s="187">
        <v>100</v>
      </c>
      <c r="L20" s="191">
        <v>26.13336003621578</v>
      </c>
      <c r="M20" s="190">
        <v>26.157481292336076</v>
      </c>
      <c r="N20" s="187">
        <f>M20-L20</f>
        <v>2.4121256120295698E-2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:M34"/>
  <sheetViews>
    <sheetView topLeftCell="A4" workbookViewId="0">
      <selection activeCell="G30" sqref="G30:M34"/>
    </sheetView>
  </sheetViews>
  <sheetFormatPr defaultRowHeight="15"/>
  <sheetData>
    <row r="4" spans="7:13">
      <c r="G4" s="204"/>
      <c r="H4" s="1" t="s">
        <v>61</v>
      </c>
      <c r="I4" s="204"/>
      <c r="J4" s="204"/>
      <c r="K4" s="204"/>
      <c r="L4" s="204"/>
      <c r="M4" s="204"/>
    </row>
    <row r="5" spans="7:13" ht="18">
      <c r="G5" s="204"/>
      <c r="I5" s="204" t="s">
        <v>2</v>
      </c>
      <c r="J5" s="204" t="s">
        <v>3</v>
      </c>
      <c r="K5" s="204" t="s">
        <v>4</v>
      </c>
      <c r="L5" s="204" t="s">
        <v>5</v>
      </c>
      <c r="M5" s="2" t="s">
        <v>6</v>
      </c>
    </row>
    <row r="6" spans="7:13">
      <c r="G6" s="200">
        <v>42212</v>
      </c>
      <c r="H6" s="204">
        <f>0.1658-0.0293</f>
        <v>0.13650000000000001</v>
      </c>
      <c r="I6" s="204">
        <v>20</v>
      </c>
      <c r="J6" s="204">
        <v>100</v>
      </c>
      <c r="K6" s="206">
        <v>25.967677740316265</v>
      </c>
      <c r="L6" s="205">
        <v>33.462869135312381</v>
      </c>
      <c r="M6" s="204">
        <f t="shared" ref="M6:M11" si="0">L6-K6</f>
        <v>7.495191394996116</v>
      </c>
    </row>
    <row r="7" spans="7:13">
      <c r="G7" s="200">
        <v>42213</v>
      </c>
      <c r="H7">
        <f>0.1601-0.026</f>
        <v>0.1341</v>
      </c>
      <c r="I7" s="204">
        <v>20</v>
      </c>
      <c r="J7" s="204">
        <v>100</v>
      </c>
      <c r="K7" s="208">
        <v>27.004798621225262</v>
      </c>
      <c r="L7" s="207">
        <v>35.018829853464965</v>
      </c>
      <c r="M7" s="204">
        <f t="shared" si="0"/>
        <v>8.0140312322397023</v>
      </c>
    </row>
    <row r="8" spans="7:13">
      <c r="H8">
        <f>0.1419-0.0056</f>
        <v>0.1363</v>
      </c>
      <c r="I8" s="204">
        <v>20</v>
      </c>
      <c r="J8" s="204">
        <v>100</v>
      </c>
      <c r="K8" s="210">
        <v>27.005636811592392</v>
      </c>
      <c r="L8" s="209">
        <v>35.343582054590115</v>
      </c>
      <c r="M8" s="204">
        <f t="shared" si="0"/>
        <v>8.3379452429977228</v>
      </c>
    </row>
    <row r="9" spans="7:13">
      <c r="H9">
        <f>0.14-0.002</f>
        <v>0.13800000000000001</v>
      </c>
      <c r="I9" s="204">
        <v>20</v>
      </c>
      <c r="J9" s="204">
        <v>100</v>
      </c>
      <c r="K9" s="212">
        <v>26.394875430755345</v>
      </c>
      <c r="L9" s="211">
        <v>33.224357409736967</v>
      </c>
      <c r="M9" s="204">
        <f t="shared" si="0"/>
        <v>6.8294819789816223</v>
      </c>
    </row>
    <row r="10" spans="7:13">
      <c r="G10" s="200">
        <v>42220</v>
      </c>
      <c r="H10">
        <f>0.156-0.0219</f>
        <v>0.1341</v>
      </c>
      <c r="I10" s="204">
        <v>20</v>
      </c>
      <c r="J10" s="204">
        <v>100</v>
      </c>
      <c r="K10" s="214">
        <v>25.620108134752986</v>
      </c>
      <c r="L10" s="213">
        <v>31.252002343654762</v>
      </c>
      <c r="M10" s="204">
        <f t="shared" si="0"/>
        <v>5.6318942089017767</v>
      </c>
    </row>
    <row r="11" spans="7:13">
      <c r="I11" s="210">
        <v>20</v>
      </c>
      <c r="J11" s="210">
        <v>100</v>
      </c>
      <c r="K11" s="210"/>
      <c r="L11" s="210"/>
      <c r="M11" s="210">
        <f t="shared" si="0"/>
        <v>0</v>
      </c>
    </row>
    <row r="14" spans="7:13">
      <c r="G14" t="s">
        <v>62</v>
      </c>
    </row>
    <row r="15" spans="7:13" ht="18">
      <c r="G15" s="214"/>
      <c r="H15" s="214"/>
      <c r="I15" s="214" t="s">
        <v>2</v>
      </c>
      <c r="J15" s="214" t="s">
        <v>3</v>
      </c>
      <c r="K15" s="214" t="s">
        <v>4</v>
      </c>
      <c r="L15" s="214" t="s">
        <v>5</v>
      </c>
      <c r="M15" s="2" t="s">
        <v>6</v>
      </c>
    </row>
    <row r="16" spans="7:13">
      <c r="G16" s="200">
        <v>42220</v>
      </c>
      <c r="H16" s="214">
        <f>0.0824-0.0195</f>
        <v>6.2899999999999998E-2</v>
      </c>
      <c r="I16" s="214">
        <v>20</v>
      </c>
      <c r="J16" s="214">
        <v>100</v>
      </c>
      <c r="K16" s="216">
        <v>25.973451940623043</v>
      </c>
      <c r="L16" s="215">
        <v>26.300253051534469</v>
      </c>
      <c r="M16" s="214">
        <f t="shared" ref="M16:M18" si="1">L16-K16</f>
        <v>0.3268011109114255</v>
      </c>
    </row>
    <row r="17" spans="7:13">
      <c r="G17" s="200"/>
      <c r="H17" s="214">
        <f>0.0811-0.0157</f>
        <v>6.5400000000000014E-2</v>
      </c>
      <c r="I17" s="214">
        <v>20</v>
      </c>
      <c r="J17" s="214">
        <v>100</v>
      </c>
      <c r="K17" s="218">
        <v>26.306399780893315</v>
      </c>
      <c r="L17" s="217">
        <v>26.656018296242841</v>
      </c>
      <c r="M17" s="214">
        <f t="shared" si="1"/>
        <v>0.34961851534952615</v>
      </c>
    </row>
    <row r="18" spans="7:13">
      <c r="G18" s="214"/>
      <c r="H18" s="214">
        <f>0.0674-0.0035</f>
        <v>6.3899999999999998E-2</v>
      </c>
      <c r="I18" s="214">
        <v>20</v>
      </c>
      <c r="J18" s="214">
        <v>100</v>
      </c>
      <c r="K18" s="220">
        <v>25.97717723114355</v>
      </c>
      <c r="L18" s="219">
        <v>26.306679177682359</v>
      </c>
      <c r="M18" s="214">
        <f t="shared" si="1"/>
        <v>0.32950194653880871</v>
      </c>
    </row>
    <row r="19" spans="7:13">
      <c r="G19" s="214"/>
      <c r="H19" s="214"/>
      <c r="I19" s="214"/>
      <c r="J19" s="214"/>
      <c r="K19" s="214"/>
      <c r="L19" s="214"/>
      <c r="M19" s="214"/>
    </row>
    <row r="20" spans="7:13">
      <c r="G20" s="200"/>
      <c r="H20" s="214"/>
      <c r="I20" s="214"/>
      <c r="J20" s="214"/>
      <c r="K20" s="214"/>
      <c r="L20" s="214"/>
      <c r="M20" s="214"/>
    </row>
    <row r="21" spans="7:13">
      <c r="G21" s="214"/>
      <c r="H21" s="214"/>
      <c r="I21" s="214"/>
      <c r="J21" s="214"/>
      <c r="K21" s="214"/>
      <c r="L21" s="214"/>
      <c r="M21" s="214"/>
    </row>
    <row r="22" spans="7:13">
      <c r="G22" s="220" t="s">
        <v>63</v>
      </c>
      <c r="H22" s="220"/>
      <c r="I22" s="220"/>
      <c r="J22" s="220"/>
      <c r="K22" s="220"/>
      <c r="L22" s="220"/>
      <c r="M22" s="220"/>
    </row>
    <row r="23" spans="7:13" ht="18">
      <c r="G23" s="220"/>
      <c r="H23" s="220"/>
      <c r="I23" s="220" t="s">
        <v>2</v>
      </c>
      <c r="J23" s="220" t="s">
        <v>3</v>
      </c>
      <c r="K23" s="220" t="s">
        <v>4</v>
      </c>
      <c r="L23" s="220" t="s">
        <v>5</v>
      </c>
      <c r="M23" s="2" t="s">
        <v>6</v>
      </c>
    </row>
    <row r="24" spans="7:13">
      <c r="G24" s="200">
        <v>42220</v>
      </c>
      <c r="H24" s="220">
        <f>0.0569</f>
        <v>5.6899999999999999E-2</v>
      </c>
      <c r="I24" s="220">
        <v>20</v>
      </c>
      <c r="J24" s="220">
        <v>100</v>
      </c>
      <c r="K24" s="222">
        <v>25.960692820590314</v>
      </c>
      <c r="L24" s="221">
        <v>26.312639642515158</v>
      </c>
      <c r="M24" s="220">
        <f t="shared" ref="M24:M26" si="2">L24-K24</f>
        <v>0.3519468219248445</v>
      </c>
    </row>
    <row r="25" spans="7:13">
      <c r="G25" s="200"/>
      <c r="H25" s="220">
        <f>0.0621-0.0078</f>
        <v>5.4300000000000001E-2</v>
      </c>
      <c r="I25" s="220">
        <v>20</v>
      </c>
      <c r="J25" s="220">
        <v>100</v>
      </c>
      <c r="K25" s="224">
        <v>25.968981591998432</v>
      </c>
      <c r="L25" s="223">
        <v>26.311801452148053</v>
      </c>
      <c r="M25" s="220">
        <f t="shared" si="2"/>
        <v>0.34281986014962129</v>
      </c>
    </row>
    <row r="26" spans="7:13">
      <c r="G26" s="220"/>
      <c r="H26" s="220">
        <f>0.0603-0.0055</f>
        <v>5.4800000000000001E-2</v>
      </c>
      <c r="I26" s="220">
        <v>20</v>
      </c>
      <c r="J26" s="220">
        <v>100</v>
      </c>
      <c r="K26" s="226">
        <v>25.969819782365562</v>
      </c>
      <c r="L26" s="225">
        <v>26.306120384104272</v>
      </c>
      <c r="M26" s="220">
        <f t="shared" si="2"/>
        <v>0.33630060173871001</v>
      </c>
    </row>
    <row r="30" spans="7:13">
      <c r="G30" s="226" t="s">
        <v>64</v>
      </c>
      <c r="H30" s="226"/>
      <c r="I30" s="226"/>
      <c r="J30" s="226"/>
      <c r="K30" s="226"/>
      <c r="L30" s="226"/>
      <c r="M30" s="226"/>
    </row>
    <row r="31" spans="7:13" ht="18">
      <c r="G31" s="226"/>
      <c r="H31" s="226"/>
      <c r="I31" s="226" t="s">
        <v>2</v>
      </c>
      <c r="J31" s="226" t="s">
        <v>3</v>
      </c>
      <c r="K31" s="226" t="s">
        <v>4</v>
      </c>
      <c r="L31" s="226" t="s">
        <v>5</v>
      </c>
      <c r="M31" s="2" t="s">
        <v>6</v>
      </c>
    </row>
    <row r="32" spans="7:13">
      <c r="G32" s="200">
        <v>42220</v>
      </c>
      <c r="H32" s="226">
        <f>0.0569</f>
        <v>5.6899999999999999E-2</v>
      </c>
      <c r="I32" s="226">
        <v>20</v>
      </c>
      <c r="J32" s="226">
        <v>100</v>
      </c>
      <c r="K32" s="228">
        <v>25.972520617992917</v>
      </c>
      <c r="L32" s="227">
        <v>26.313757229671303</v>
      </c>
      <c r="M32" s="226">
        <f t="shared" ref="M32:M34" si="3">L32-K32</f>
        <v>0.34123661167838648</v>
      </c>
    </row>
    <row r="33" spans="7:13">
      <c r="G33" s="200"/>
      <c r="H33" s="226">
        <f>0.0621-0.0078</f>
        <v>5.4300000000000001E-2</v>
      </c>
      <c r="I33" s="226">
        <v>20</v>
      </c>
      <c r="J33" s="226">
        <v>100</v>
      </c>
      <c r="K33" s="226"/>
      <c r="L33" s="226"/>
      <c r="M33" s="226">
        <f t="shared" si="3"/>
        <v>0</v>
      </c>
    </row>
    <row r="34" spans="7:13">
      <c r="G34" s="226"/>
      <c r="H34" s="226">
        <f>0.0603-0.0055</f>
        <v>5.4800000000000001E-2</v>
      </c>
      <c r="I34" s="226">
        <v>20</v>
      </c>
      <c r="J34" s="226">
        <v>100</v>
      </c>
      <c r="K34" s="226"/>
      <c r="L34" s="226"/>
      <c r="M34" s="226">
        <f t="shared" si="3"/>
        <v>0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N32"/>
  <sheetViews>
    <sheetView topLeftCell="A19" workbookViewId="0">
      <selection activeCell="Q15" sqref="Q15"/>
    </sheetView>
  </sheetViews>
  <sheetFormatPr defaultRowHeight="15"/>
  <sheetData>
    <row r="3" spans="6:14">
      <c r="F3" s="228"/>
      <c r="G3" s="229" t="s">
        <v>65</v>
      </c>
      <c r="H3" s="228"/>
      <c r="I3" s="228"/>
      <c r="J3" s="228"/>
      <c r="K3" s="228"/>
      <c r="L3" s="228"/>
    </row>
    <row r="4" spans="6:14" ht="18">
      <c r="F4" s="228"/>
      <c r="G4" s="228"/>
      <c r="H4" s="228" t="s">
        <v>2</v>
      </c>
      <c r="I4" s="228" t="s">
        <v>3</v>
      </c>
      <c r="J4" s="228" t="s">
        <v>4</v>
      </c>
      <c r="K4" s="228" t="s">
        <v>5</v>
      </c>
      <c r="L4" s="2" t="s">
        <v>6</v>
      </c>
    </row>
    <row r="5" spans="6:14">
      <c r="F5" s="200">
        <v>42234</v>
      </c>
      <c r="G5" s="228">
        <f>0.1658-0.0293</f>
        <v>0.13650000000000001</v>
      </c>
      <c r="H5" s="228">
        <v>20</v>
      </c>
      <c r="I5" s="228">
        <v>100</v>
      </c>
      <c r="J5" s="231">
        <v>25.443156835028926</v>
      </c>
      <c r="K5" s="230">
        <v>31.069928769465005</v>
      </c>
      <c r="L5" s="228">
        <f t="shared" ref="L5:L6" si="0">K5-J5</f>
        <v>5.6267719344360785</v>
      </c>
    </row>
    <row r="6" spans="6:14">
      <c r="F6" s="200"/>
      <c r="G6" s="228">
        <f>0.186-0.026</f>
        <v>0.16</v>
      </c>
      <c r="H6" s="228">
        <v>20</v>
      </c>
      <c r="I6" s="228">
        <v>100</v>
      </c>
      <c r="J6" s="233">
        <v>26.295596438383836</v>
      </c>
      <c r="K6" s="232">
        <v>31.255634501912272</v>
      </c>
      <c r="L6" s="228">
        <f t="shared" si="0"/>
        <v>4.9600380635284367</v>
      </c>
      <c r="M6" s="233"/>
    </row>
    <row r="7" spans="6:14">
      <c r="F7" s="228"/>
      <c r="G7" s="228"/>
      <c r="H7" s="228"/>
      <c r="I7" s="228"/>
      <c r="J7" s="228"/>
      <c r="K7" s="228"/>
      <c r="L7" s="228"/>
    </row>
    <row r="8" spans="6:14">
      <c r="F8" s="228"/>
      <c r="G8" s="228"/>
      <c r="H8" s="228"/>
      <c r="I8" s="228"/>
      <c r="J8" s="228"/>
      <c r="K8" s="228"/>
      <c r="L8" s="228"/>
    </row>
    <row r="9" spans="6:14">
      <c r="F9" s="200"/>
      <c r="G9" s="228"/>
      <c r="H9" s="228"/>
      <c r="I9" s="228"/>
      <c r="J9" s="228"/>
      <c r="K9" s="228"/>
      <c r="L9" s="228"/>
    </row>
    <row r="11" spans="6:14">
      <c r="F11" s="21" t="s">
        <v>62</v>
      </c>
      <c r="G11" s="233"/>
      <c r="H11" s="233"/>
      <c r="I11" s="233"/>
      <c r="J11" s="233"/>
      <c r="K11" s="233"/>
      <c r="L11" s="233"/>
    </row>
    <row r="12" spans="6:14" ht="18">
      <c r="F12" s="233"/>
      <c r="G12" s="233"/>
      <c r="H12" s="233" t="s">
        <v>2</v>
      </c>
      <c r="I12" s="233" t="s">
        <v>3</v>
      </c>
      <c r="J12" s="233" t="s">
        <v>4</v>
      </c>
      <c r="K12" s="233" t="s">
        <v>5</v>
      </c>
      <c r="L12" s="2" t="s">
        <v>6</v>
      </c>
    </row>
    <row r="13" spans="6:14">
      <c r="F13" s="200">
        <v>42234</v>
      </c>
      <c r="G13" s="233">
        <f>0.081-0.0156</f>
        <v>6.54E-2</v>
      </c>
      <c r="H13" s="233">
        <v>20</v>
      </c>
      <c r="I13" s="233">
        <v>100</v>
      </c>
      <c r="J13" s="235">
        <v>26.360161147127201</v>
      </c>
      <c r="K13" s="234">
        <v>27.314742792531412</v>
      </c>
      <c r="L13" s="233">
        <f t="shared" ref="L13:L15" si="1">K13-J13</f>
        <v>0.95458164540421109</v>
      </c>
      <c r="M13">
        <f>L13/G13</f>
        <v>14.596049623917601</v>
      </c>
    </row>
    <row r="14" spans="6:14">
      <c r="F14" s="200"/>
      <c r="G14" s="233">
        <f>0.0672-0.0024</f>
        <v>6.4799999999999996E-2</v>
      </c>
      <c r="H14" s="233">
        <v>20</v>
      </c>
      <c r="I14" s="233">
        <v>100</v>
      </c>
      <c r="J14" s="237">
        <v>26.302301961320769</v>
      </c>
      <c r="K14" s="236">
        <v>27.848390659593971</v>
      </c>
      <c r="L14" s="233">
        <f t="shared" si="1"/>
        <v>1.5460886982732021</v>
      </c>
      <c r="M14" s="239">
        <f t="shared" ref="M14:M15" si="2">L14/G14</f>
        <v>23.859393491870403</v>
      </c>
    </row>
    <row r="15" spans="6:14">
      <c r="F15" s="233"/>
      <c r="G15" s="233">
        <f>0.0641-0.0028</f>
        <v>6.1300000000000007E-2</v>
      </c>
      <c r="H15" s="233">
        <v>20</v>
      </c>
      <c r="I15" s="233">
        <v>100</v>
      </c>
      <c r="J15" s="239">
        <v>26.304909664685102</v>
      </c>
      <c r="K15" s="238">
        <v>27.343241265013297</v>
      </c>
      <c r="L15" s="233">
        <f t="shared" si="1"/>
        <v>1.0383316003281955</v>
      </c>
      <c r="M15" s="239">
        <f t="shared" si="2"/>
        <v>16.938525290835162</v>
      </c>
      <c r="N15">
        <f>AVERAGE(L15:L17)</f>
        <v>1.2013130606003475</v>
      </c>
    </row>
    <row r="16" spans="6:14">
      <c r="F16">
        <f>G14*8</f>
        <v>0.51839999999999997</v>
      </c>
      <c r="G16" s="239">
        <f>0.0655-0.0028</f>
        <v>6.2700000000000006E-2</v>
      </c>
      <c r="H16" s="239">
        <v>20</v>
      </c>
      <c r="I16" s="239">
        <v>100</v>
      </c>
      <c r="J16" s="241">
        <v>26.307703632575482</v>
      </c>
      <c r="K16" s="240">
        <v>27.331506599873691</v>
      </c>
      <c r="L16" s="239">
        <f t="shared" ref="L16" si="3">K16-J16</f>
        <v>1.0238029672982094</v>
      </c>
      <c r="M16" s="239">
        <f t="shared" ref="M16" si="4">L16/G16</f>
        <v>16.32859596966841</v>
      </c>
      <c r="N16">
        <f>_xlfn.STDEV.P(L15:L17)</f>
        <v>0.24083693492486449</v>
      </c>
    </row>
    <row r="17" spans="6:14">
      <c r="G17" s="241">
        <f>0.0735-0.011</f>
        <v>6.25E-2</v>
      </c>
      <c r="H17" s="241">
        <v>20</v>
      </c>
      <c r="I17" s="241">
        <v>100</v>
      </c>
      <c r="J17" s="242">
        <v>26.310590732728883</v>
      </c>
      <c r="K17" s="243">
        <v>27.852395346903521</v>
      </c>
      <c r="L17" s="241">
        <f t="shared" ref="L17" si="5">K17-J17</f>
        <v>1.5418046141746373</v>
      </c>
      <c r="M17" s="241">
        <f t="shared" ref="M17" si="6">L17/G17</f>
        <v>24.668873826794197</v>
      </c>
      <c r="N17">
        <f>N16/N15</f>
        <v>0.20047807921484512</v>
      </c>
    </row>
    <row r="18" spans="6:14">
      <c r="G18" s="241"/>
      <c r="H18" s="241"/>
      <c r="I18" s="241"/>
      <c r="J18" s="241"/>
      <c r="K18" s="241"/>
      <c r="L18" s="241">
        <f t="shared" ref="L18" si="7">K18-J18</f>
        <v>0</v>
      </c>
      <c r="M18" s="241"/>
    </row>
    <row r="20" spans="6:14">
      <c r="F20" s="243" t="s">
        <v>63</v>
      </c>
      <c r="G20" s="243"/>
      <c r="H20" s="243"/>
      <c r="I20" s="243"/>
      <c r="J20" s="243"/>
      <c r="K20" s="243"/>
      <c r="L20" s="243"/>
    </row>
    <row r="21" spans="6:14" ht="18">
      <c r="F21" s="243"/>
      <c r="G21" s="243"/>
      <c r="H21" s="243" t="s">
        <v>2</v>
      </c>
      <c r="I21" s="243" t="s">
        <v>3</v>
      </c>
      <c r="J21" s="243" t="s">
        <v>4</v>
      </c>
      <c r="K21" s="243" t="s">
        <v>5</v>
      </c>
      <c r="L21" s="2" t="s">
        <v>6</v>
      </c>
    </row>
    <row r="22" spans="6:14">
      <c r="F22" s="200">
        <v>42234</v>
      </c>
      <c r="G22" s="243">
        <f>0.0751-0.0204</f>
        <v>5.4699999999999999E-2</v>
      </c>
      <c r="H22" s="243">
        <v>20</v>
      </c>
      <c r="I22" s="243">
        <v>100</v>
      </c>
      <c r="J22" s="245">
        <v>26.648008921623767</v>
      </c>
      <c r="K22" s="244">
        <v>27.329550822350441</v>
      </c>
      <c r="L22" s="243">
        <f t="shared" ref="L22:L24" si="8">K22-J22</f>
        <v>0.68154190072667475</v>
      </c>
      <c r="M22">
        <f>L22/G22</f>
        <v>12.459632554418185</v>
      </c>
    </row>
    <row r="23" spans="6:14">
      <c r="F23" s="200"/>
      <c r="G23" s="243">
        <f>0.0762-0.0241</f>
        <v>5.2100000000000007E-2</v>
      </c>
      <c r="H23" s="243">
        <v>20</v>
      </c>
      <c r="I23" s="243">
        <v>100</v>
      </c>
      <c r="J23" s="247">
        <v>26.639813282478649</v>
      </c>
      <c r="K23" s="246">
        <v>27.306826550175334</v>
      </c>
      <c r="L23" s="243">
        <f t="shared" si="8"/>
        <v>0.66701326769668512</v>
      </c>
      <c r="M23" s="247">
        <f>L23/G23</f>
        <v>12.802557921241554</v>
      </c>
    </row>
    <row r="24" spans="6:14">
      <c r="F24" s="243"/>
      <c r="G24" s="243">
        <f>0.0686-0.009</f>
        <v>5.9599999999999993E-2</v>
      </c>
      <c r="H24" s="243">
        <v>20</v>
      </c>
      <c r="I24" s="243">
        <v>100</v>
      </c>
      <c r="J24" s="249">
        <v>26.389939420815669</v>
      </c>
      <c r="K24" s="248">
        <v>27.112086988215871</v>
      </c>
      <c r="L24" s="243">
        <f t="shared" si="8"/>
        <v>0.72214756740020292</v>
      </c>
      <c r="M24" s="249">
        <f>L24/G24</f>
        <v>12.116569922822197</v>
      </c>
    </row>
    <row r="28" spans="6:14">
      <c r="F28" s="249" t="s">
        <v>64</v>
      </c>
      <c r="G28" s="249"/>
      <c r="H28" s="249"/>
      <c r="I28" s="249"/>
      <c r="J28" s="249"/>
      <c r="K28" s="249"/>
      <c r="L28" s="249"/>
    </row>
    <row r="29" spans="6:14" ht="18">
      <c r="F29" s="249"/>
      <c r="G29" s="249"/>
      <c r="H29" s="249" t="s">
        <v>2</v>
      </c>
      <c r="I29" s="249" t="s">
        <v>3</v>
      </c>
      <c r="J29" s="249" t="s">
        <v>4</v>
      </c>
      <c r="K29" s="249" t="s">
        <v>5</v>
      </c>
      <c r="L29" s="2" t="s">
        <v>6</v>
      </c>
    </row>
    <row r="30" spans="6:14">
      <c r="F30" s="200">
        <v>42234</v>
      </c>
      <c r="G30" s="249">
        <f>0.0726-0.0141</f>
        <v>5.8499999999999996E-2</v>
      </c>
      <c r="H30" s="249">
        <v>20</v>
      </c>
      <c r="I30" s="249">
        <v>100</v>
      </c>
      <c r="J30" s="250">
        <v>26.663468877283854</v>
      </c>
      <c r="K30" s="251">
        <v>27.461612371302401</v>
      </c>
      <c r="L30" s="249">
        <f t="shared" ref="L30:L32" si="9">K30-J30</f>
        <v>0.79814349401854656</v>
      </c>
      <c r="M30">
        <f>L30/G30</f>
        <v>13.643478530231565</v>
      </c>
    </row>
    <row r="31" spans="6:14">
      <c r="F31" s="200"/>
      <c r="G31" s="249">
        <f>0.0512-0.0051</f>
        <v>4.6100000000000002E-2</v>
      </c>
      <c r="H31" s="249">
        <v>20</v>
      </c>
      <c r="I31" s="249">
        <v>100</v>
      </c>
      <c r="J31" s="253">
        <v>26.658253470555159</v>
      </c>
      <c r="K31" s="252">
        <v>27.275161580751028</v>
      </c>
      <c r="L31" s="249">
        <f t="shared" si="9"/>
        <v>0.61690811019586889</v>
      </c>
      <c r="M31" s="253">
        <f>L31/G31</f>
        <v>13.381954668023186</v>
      </c>
    </row>
    <row r="32" spans="6:14">
      <c r="F32" s="249"/>
      <c r="G32" s="249">
        <f>0.0583-0.0072</f>
        <v>5.11E-2</v>
      </c>
      <c r="H32" s="249">
        <v>20</v>
      </c>
      <c r="I32" s="249">
        <v>100</v>
      </c>
      <c r="J32" s="255">
        <v>26.65108228630319</v>
      </c>
      <c r="K32" s="254">
        <v>27.326756854460061</v>
      </c>
      <c r="L32" s="249">
        <f t="shared" si="9"/>
        <v>0.67567456815687166</v>
      </c>
      <c r="M32" s="255">
        <f>L32/G32</f>
        <v>13.222594288784181</v>
      </c>
    </row>
  </sheetData>
  <phoneticPr fontId="4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Stock1</vt:lpstr>
      <vt:lpstr>Stock2</vt:lpstr>
      <vt:lpstr>Stock3</vt:lpstr>
      <vt:lpstr>Stock 4</vt:lpstr>
      <vt:lpstr>Stock 5</vt:lpstr>
      <vt:lpstr>Stock 6</vt:lpstr>
      <vt:lpstr>Stock7</vt:lpstr>
      <vt:lpstr>Stock8</vt:lpstr>
      <vt:lpstr>Stock9</vt:lpstr>
      <vt:lpstr>Organic Solvent</vt:lpstr>
      <vt:lpstr>Plot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CHLabData</dc:creator>
  <cp:lastModifiedBy>Yang He</cp:lastModifiedBy>
  <cp:lastPrinted>2015-04-14T16:52:25Z</cp:lastPrinted>
  <dcterms:created xsi:type="dcterms:W3CDTF">2015-04-06T16:57:04Z</dcterms:created>
  <dcterms:modified xsi:type="dcterms:W3CDTF">2015-12-15T15:46:24Z</dcterms:modified>
</cp:coreProperties>
</file>